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CTTDT\"/>
    </mc:Choice>
  </mc:AlternateContent>
  <xr:revisionPtr revIDLastSave="0" documentId="13_ncr:1_{011E0F19-BEFA-4C8F-958C-ABFD66C2CF21}" xr6:coauthVersionLast="47" xr6:coauthVersionMax="47" xr10:uidLastSave="{00000000-0000-0000-0000-000000000000}"/>
  <bookViews>
    <workbookView xWindow="-120" yWindow="-120" windowWidth="20730" windowHeight="11160" xr2:uid="{59B101B2-9FB2-470A-BD0A-EEC1539DDF7D}"/>
  </bookViews>
  <sheets>
    <sheet name="TỔNG HỢP" sheetId="5" r:id="rId1"/>
    <sheet name="ĐƠN GIÁ" sheetId="1" r:id="rId2"/>
    <sheet name="NHÂN CÔNG" sheetId="2" r:id="rId3"/>
    <sheet name="THIẾT BỊ" sheetId="3" r:id="rId4"/>
    <sheet name="VẬT LIỆU" sheetId="4" r:id="rId5"/>
  </sheets>
  <definedNames>
    <definedName name="bookmark1000" localSheetId="1">'ĐƠN GIÁ'!#REF!</definedName>
    <definedName name="bookmark1001" localSheetId="1">'ĐƠN GIÁ'!#REF!</definedName>
    <definedName name="bookmark1002" localSheetId="1">'ĐƠN GIÁ'!#REF!</definedName>
    <definedName name="bookmark1003" localSheetId="1">'ĐƠN GIÁ'!#REF!</definedName>
    <definedName name="bookmark1004" localSheetId="1">'ĐƠN GIÁ'!#REF!</definedName>
    <definedName name="bookmark1005" localSheetId="1">'ĐƠN GIÁ'!#REF!</definedName>
    <definedName name="bookmark1006" localSheetId="1">'ĐƠN GIÁ'!#REF!</definedName>
    <definedName name="bookmark1007" localSheetId="1">'ĐƠN GIÁ'!#REF!</definedName>
    <definedName name="bookmark1008" localSheetId="1">'ĐƠN GIÁ'!#REF!</definedName>
    <definedName name="bookmark1009" localSheetId="1">'ĐƠN GIÁ'!$B$1017</definedName>
    <definedName name="bookmark1010" localSheetId="1">'ĐƠN GIÁ'!#REF!</definedName>
    <definedName name="bookmark1011" localSheetId="1">'ĐƠN GIÁ'!#REF!</definedName>
    <definedName name="bookmark1012" localSheetId="1">'ĐƠN GIÁ'!#REF!</definedName>
    <definedName name="bookmark1013" localSheetId="1">'ĐƠN GIÁ'!#REF!</definedName>
    <definedName name="bookmark1014" localSheetId="1">'ĐƠN GIÁ'!#REF!</definedName>
    <definedName name="bookmark1015" localSheetId="1">'ĐƠN GIÁ'!#REF!</definedName>
    <definedName name="bookmark1016" localSheetId="1">'ĐƠN GIÁ'!#REF!</definedName>
    <definedName name="bookmark1017" localSheetId="1">'ĐƠN GIÁ'!#REF!</definedName>
    <definedName name="bookmark1018" localSheetId="1">'ĐƠN GIÁ'!#REF!</definedName>
    <definedName name="bookmark1019" localSheetId="1">'ĐƠN GIÁ'!#REF!</definedName>
    <definedName name="bookmark1020" localSheetId="1">'ĐƠN GIÁ'!#REF!</definedName>
    <definedName name="bookmark1021" localSheetId="1">'ĐƠN GIÁ'!#REF!</definedName>
    <definedName name="bookmark1022" localSheetId="1">'ĐƠN GIÁ'!#REF!</definedName>
    <definedName name="bookmark1023" localSheetId="1">'ĐƠN GIÁ'!#REF!</definedName>
    <definedName name="bookmark1024" localSheetId="1">'ĐƠN GIÁ'!#REF!</definedName>
    <definedName name="bookmark1025" localSheetId="1">'ĐƠN GIÁ'!#REF!</definedName>
    <definedName name="bookmark1026" localSheetId="1">'ĐƠN GIÁ'!#REF!</definedName>
    <definedName name="bookmark1027" localSheetId="1">'ĐƠN GIÁ'!#REF!</definedName>
    <definedName name="bookmark1028" localSheetId="1">'ĐƠN GIÁ'!#REF!</definedName>
    <definedName name="bookmark1029" localSheetId="1">'ĐƠN GIÁ'!#REF!</definedName>
    <definedName name="bookmark1030" localSheetId="1">'ĐƠN GIÁ'!$B$1036</definedName>
    <definedName name="bookmark1031" localSheetId="1">'ĐƠN GIÁ'!#REF!</definedName>
    <definedName name="bookmark1032" localSheetId="1">'ĐƠN GIÁ'!#REF!</definedName>
    <definedName name="bookmark1033" localSheetId="1">'ĐƠN GIÁ'!#REF!</definedName>
    <definedName name="bookmark1034" localSheetId="1">'ĐƠN GIÁ'!#REF!</definedName>
    <definedName name="bookmark1035" localSheetId="1">'ĐƠN GIÁ'!#REF!</definedName>
    <definedName name="bookmark1036" localSheetId="1">'ĐƠN GIÁ'!#REF!</definedName>
    <definedName name="bookmark1037" localSheetId="1">'ĐƠN GIÁ'!#REF!</definedName>
    <definedName name="bookmark1038" localSheetId="1">'ĐƠN GIÁ'!#REF!</definedName>
    <definedName name="bookmark1039" localSheetId="1">'ĐƠN GIÁ'!#REF!</definedName>
    <definedName name="bookmark1040" localSheetId="1">'ĐƠN GIÁ'!#REF!</definedName>
    <definedName name="bookmark1041" localSheetId="1">'ĐƠN GIÁ'!#REF!</definedName>
    <definedName name="bookmark1042" localSheetId="1">'ĐƠN GIÁ'!#REF!</definedName>
    <definedName name="bookmark1043" localSheetId="1">'ĐƠN GIÁ'!#REF!</definedName>
    <definedName name="bookmark1044" localSheetId="1">'ĐƠN GIÁ'!#REF!</definedName>
    <definedName name="bookmark1045" localSheetId="1">'ĐƠN GIÁ'!#REF!</definedName>
    <definedName name="bookmark1046" localSheetId="1">'ĐƠN GIÁ'!#REF!</definedName>
    <definedName name="bookmark1047" localSheetId="1">'ĐƠN GIÁ'!#REF!</definedName>
    <definedName name="bookmark1048" localSheetId="1">'ĐƠN GIÁ'!#REF!</definedName>
    <definedName name="bookmark1051" localSheetId="1">'ĐƠN GIÁ'!$B$1054</definedName>
    <definedName name="bookmark1053" localSheetId="1">'ĐƠN GIÁ'!#REF!</definedName>
    <definedName name="bookmark1054" localSheetId="1">'ĐƠN GIÁ'!#REF!</definedName>
    <definedName name="bookmark1055" localSheetId="1">'ĐƠN GIÁ'!#REF!</definedName>
    <definedName name="bookmark1056" localSheetId="1">'ĐƠN GIÁ'!#REF!</definedName>
    <definedName name="bookmark1057" localSheetId="1">'ĐƠN GIÁ'!#REF!</definedName>
    <definedName name="bookmark1058" localSheetId="1">'ĐƠN GIÁ'!#REF!</definedName>
    <definedName name="bookmark1059" localSheetId="1">'ĐƠN GIÁ'!#REF!</definedName>
    <definedName name="bookmark1060" localSheetId="1">'ĐƠN GIÁ'!#REF!</definedName>
    <definedName name="bookmark1061" localSheetId="1">'ĐƠN GIÁ'!#REF!</definedName>
    <definedName name="bookmark1062" localSheetId="1">'ĐƠN GIÁ'!#REF!</definedName>
    <definedName name="bookmark1063" localSheetId="1">'ĐƠN GIÁ'!#REF!</definedName>
    <definedName name="bookmark1066" localSheetId="1">'ĐƠN GIÁ'!#REF!</definedName>
    <definedName name="bookmark1068" localSheetId="1">'ĐƠN GIÁ'!#REF!</definedName>
    <definedName name="bookmark1069" localSheetId="1">'ĐƠN GIÁ'!#REF!</definedName>
    <definedName name="bookmark1070" localSheetId="1">'ĐƠN GIÁ'!#REF!</definedName>
    <definedName name="bookmark1071" localSheetId="1">'ĐƠN GIÁ'!#REF!</definedName>
    <definedName name="bookmark1072" localSheetId="1">'ĐƠN GIÁ'!#REF!</definedName>
    <definedName name="bookmark1073" localSheetId="1">'ĐƠN GIÁ'!#REF!</definedName>
    <definedName name="bookmark1074" localSheetId="1">'ĐƠN GIÁ'!#REF!</definedName>
    <definedName name="bookmark1075" localSheetId="1">'ĐƠN GIÁ'!#REF!</definedName>
    <definedName name="bookmark1076" localSheetId="1">'ĐƠN GIÁ'!#REF!</definedName>
    <definedName name="bookmark1077" localSheetId="1">'ĐƠN GIÁ'!#REF!</definedName>
    <definedName name="bookmark1078" localSheetId="1">'ĐƠN GIÁ'!#REF!</definedName>
    <definedName name="bookmark1079" localSheetId="1">'ĐƠN GIÁ'!#REF!</definedName>
    <definedName name="bookmark322" localSheetId="1">'ĐƠN GIÁ'!$B$247</definedName>
    <definedName name="bookmark344" localSheetId="1">'ĐƠN GIÁ'!$B$268</definedName>
    <definedName name="bookmark369" localSheetId="1">'ĐƠN GIÁ'!$B$290</definedName>
    <definedName name="bookmark391" localSheetId="1">'ĐƠN GIÁ'!$B$307</definedName>
    <definedName name="bookmark411" localSheetId="1">'ĐƠN GIÁ'!$B$325</definedName>
    <definedName name="bookmark493" localSheetId="1">'ĐƠN GIÁ'!$B$372</definedName>
    <definedName name="bookmark494" localSheetId="1">'ĐƠN GIÁ'!#REF!</definedName>
    <definedName name="bookmark497" localSheetId="1">'ĐƠN GIÁ'!$B$396</definedName>
    <definedName name="bookmark529" localSheetId="1">'ĐƠN GIÁ'!$B$400</definedName>
    <definedName name="bookmark530" localSheetId="1">'ĐƠN GIÁ'!$B$401</definedName>
    <definedName name="bookmark533" localSheetId="1">'ĐƠN GIÁ'!$B$425</definedName>
    <definedName name="bookmark583" localSheetId="1">'ĐƠN GIÁ'!$B$427</definedName>
    <definedName name="bookmark584" localSheetId="1">'ĐƠN GIÁ'!$B$428</definedName>
    <definedName name="bookmark617" localSheetId="1">'ĐƠN GIÁ'!$B$517</definedName>
    <definedName name="bookmark642" localSheetId="1">'ĐƠN GIÁ'!$B$538</definedName>
    <definedName name="bookmark655" localSheetId="1">'ĐƠN GIÁ'!$B$557</definedName>
    <definedName name="bookmark667" localSheetId="1">'ĐƠN GIÁ'!$B$559</definedName>
    <definedName name="bookmark670" localSheetId="1">'ĐƠN GIÁ'!$B$578</definedName>
    <definedName name="bookmark696" localSheetId="1">'ĐƠN GIÁ'!$B$600</definedName>
    <definedName name="bookmark720" localSheetId="1">'ĐƠN GIÁ'!#REF!</definedName>
    <definedName name="bookmark722" localSheetId="1">'ĐƠN GIÁ'!#REF!</definedName>
    <definedName name="bookmark723" localSheetId="1">'ĐƠN GIÁ'!$B$622</definedName>
    <definedName name="bookmark767" localSheetId="1">'ĐƠN GIÁ'!$B$695</definedName>
    <definedName name="bookmark785" localSheetId="1">'ĐƠN GIÁ'!$B$711</definedName>
    <definedName name="bookmark800" localSheetId="1">'ĐƠN GIÁ'!$B$728</definedName>
    <definedName name="bookmark808" localSheetId="1">'ĐƠN GIÁ'!#REF!</definedName>
    <definedName name="bookmark809" localSheetId="1">'ĐƠN GIÁ'!#REF!</definedName>
    <definedName name="bookmark810" localSheetId="1">'ĐƠN GIÁ'!#REF!</definedName>
    <definedName name="bookmark811" localSheetId="1">'ĐƠN GIÁ'!#REF!</definedName>
    <definedName name="bookmark812" localSheetId="1">'ĐƠN GIÁ'!#REF!</definedName>
    <definedName name="bookmark813" localSheetId="1">'ĐƠN GIÁ'!#REF!</definedName>
    <definedName name="bookmark814" localSheetId="1">'ĐƠN GIÁ'!#REF!</definedName>
    <definedName name="bookmark815" localSheetId="1">'ĐƠN GIÁ'!#REF!</definedName>
    <definedName name="bookmark816" localSheetId="1">'ĐƠN GIÁ'!#REF!</definedName>
    <definedName name="bookmark817" localSheetId="1">'ĐƠN GIÁ'!#REF!</definedName>
    <definedName name="bookmark818" localSheetId="1">'ĐƠN GIÁ'!#REF!</definedName>
    <definedName name="bookmark819" localSheetId="1">'ĐƠN GIÁ'!#REF!</definedName>
    <definedName name="bookmark820" localSheetId="1">'ĐƠN GIÁ'!#REF!</definedName>
    <definedName name="bookmark821" localSheetId="1">'ĐƠN GIÁ'!#REF!</definedName>
    <definedName name="bookmark822" localSheetId="1">'ĐƠN GIÁ'!#REF!</definedName>
    <definedName name="bookmark823" localSheetId="1">'ĐƠN GIÁ'!#REF!</definedName>
    <definedName name="bookmark824" localSheetId="1">'ĐƠN GIÁ'!#REF!</definedName>
    <definedName name="bookmark825" localSheetId="1">'ĐƠN GIÁ'!#REF!</definedName>
    <definedName name="bookmark826" localSheetId="1">'ĐƠN GIÁ'!#REF!</definedName>
    <definedName name="bookmark827" localSheetId="1">'ĐƠN GIÁ'!#REF!</definedName>
    <definedName name="bookmark828" localSheetId="1">'ĐƠN GIÁ'!#REF!</definedName>
    <definedName name="bookmark829" localSheetId="1">'ĐƠN GIÁ'!#REF!</definedName>
    <definedName name="bookmark830" localSheetId="1">'ĐƠN GIÁ'!#REF!</definedName>
    <definedName name="bookmark831" localSheetId="1">'ĐƠN GIÁ'!#REF!</definedName>
    <definedName name="bookmark832" localSheetId="1">'ĐƠN GIÁ'!#REF!</definedName>
    <definedName name="bookmark833" localSheetId="1">'ĐƠN GIÁ'!#REF!</definedName>
    <definedName name="bookmark834" localSheetId="1">'ĐƠN GIÁ'!#REF!</definedName>
    <definedName name="bookmark835" localSheetId="1">'ĐƠN GIÁ'!#REF!</definedName>
    <definedName name="bookmark836" localSheetId="1">'ĐƠN GIÁ'!$B$767</definedName>
    <definedName name="bookmark837" localSheetId="1">'ĐƠN GIÁ'!#REF!</definedName>
    <definedName name="bookmark838" localSheetId="1">'ĐƠN GIÁ'!#REF!</definedName>
    <definedName name="bookmark839" localSheetId="1">'ĐƠN GIÁ'!#REF!</definedName>
    <definedName name="bookmark840" localSheetId="1">'ĐƠN GIÁ'!#REF!</definedName>
    <definedName name="bookmark841" localSheetId="1">'ĐƠN GIÁ'!#REF!</definedName>
    <definedName name="bookmark842" localSheetId="1">'ĐƠN GIÁ'!#REF!</definedName>
    <definedName name="bookmark843" localSheetId="1">'ĐƠN GIÁ'!#REF!</definedName>
    <definedName name="bookmark844" localSheetId="1">'ĐƠN GIÁ'!#REF!</definedName>
    <definedName name="bookmark845" localSheetId="1">'ĐƠN GIÁ'!#REF!</definedName>
    <definedName name="bookmark846" localSheetId="1">'ĐƠN GIÁ'!#REF!</definedName>
    <definedName name="bookmark847" localSheetId="1">'ĐƠN GIÁ'!#REF!</definedName>
    <definedName name="bookmark848" localSheetId="1">'ĐƠN GIÁ'!#REF!</definedName>
    <definedName name="bookmark849" localSheetId="1">'ĐƠN GIÁ'!$B$788</definedName>
    <definedName name="bookmark850" localSheetId="1">'ĐƠN GIÁ'!#REF!</definedName>
    <definedName name="bookmark851" localSheetId="1">'ĐƠN GIÁ'!#REF!</definedName>
    <definedName name="bookmark852" localSheetId="1">'ĐƠN GIÁ'!#REF!</definedName>
    <definedName name="bookmark853" localSheetId="1">'ĐƠN GIÁ'!#REF!</definedName>
    <definedName name="bookmark857" localSheetId="1">'ĐƠN GIÁ'!#REF!</definedName>
    <definedName name="bookmark860" localSheetId="1">'ĐƠN GIÁ'!#REF!</definedName>
    <definedName name="bookmark861" localSheetId="1">'ĐƠN GIÁ'!#REF!</definedName>
    <definedName name="bookmark862" localSheetId="1">'ĐƠN GIÁ'!#REF!</definedName>
    <definedName name="bookmark863" localSheetId="1">'ĐƠN GIÁ'!#REF!</definedName>
    <definedName name="bookmark864" localSheetId="1">'ĐƠN GIÁ'!#REF!</definedName>
    <definedName name="bookmark865" localSheetId="1">'ĐƠN GIÁ'!#REF!</definedName>
    <definedName name="bookmark866" localSheetId="1">'ĐƠN GIÁ'!#REF!</definedName>
    <definedName name="bookmark867" localSheetId="1">'ĐƠN GIÁ'!#REF!</definedName>
    <definedName name="bookmark868" localSheetId="1">'ĐƠN GIÁ'!#REF!</definedName>
    <definedName name="bookmark869" localSheetId="1">'ĐƠN GIÁ'!#REF!</definedName>
    <definedName name="bookmark870" localSheetId="1">'ĐƠN GIÁ'!#REF!</definedName>
    <definedName name="bookmark871" localSheetId="1">'ĐƠN GIÁ'!#REF!</definedName>
    <definedName name="bookmark872" localSheetId="1">'ĐƠN GIÁ'!#REF!</definedName>
    <definedName name="bookmark873" localSheetId="1">'ĐƠN GIÁ'!#REF!</definedName>
    <definedName name="bookmark874" localSheetId="1">'ĐƠN GIÁ'!#REF!</definedName>
    <definedName name="bookmark875" localSheetId="1">'ĐƠN GIÁ'!#REF!</definedName>
    <definedName name="bookmark876" localSheetId="1">'ĐƠN GIÁ'!#REF!</definedName>
    <definedName name="bookmark877" localSheetId="1">'ĐƠN GIÁ'!#REF!</definedName>
    <definedName name="bookmark878" localSheetId="1">'ĐƠN GIÁ'!#REF!</definedName>
    <definedName name="bookmark879" localSheetId="1">'ĐƠN GIÁ'!#REF!</definedName>
    <definedName name="bookmark880" localSheetId="1">'ĐƠN GIÁ'!#REF!</definedName>
    <definedName name="bookmark881" localSheetId="1">'ĐƠN GIÁ'!#REF!</definedName>
    <definedName name="bookmark882" localSheetId="1">'ĐƠN GIÁ'!#REF!</definedName>
    <definedName name="bookmark883" localSheetId="1">'ĐƠN GIÁ'!#REF!</definedName>
    <definedName name="bookmark884" localSheetId="1">'ĐƠN GIÁ'!#REF!</definedName>
    <definedName name="bookmark887" localSheetId="1">'ĐƠN GIÁ'!$B$850</definedName>
    <definedName name="bookmark889" localSheetId="1">'ĐƠN GIÁ'!#REF!</definedName>
    <definedName name="bookmark890" localSheetId="1">'ĐƠN GIÁ'!#REF!</definedName>
    <definedName name="bookmark891" localSheetId="1">'ĐƠN GIÁ'!#REF!</definedName>
    <definedName name="bookmark892" localSheetId="1">'ĐƠN GIÁ'!#REF!</definedName>
    <definedName name="bookmark893" localSheetId="1">'ĐƠN GIÁ'!#REF!</definedName>
    <definedName name="bookmark894" localSheetId="1">'ĐƠN GIÁ'!#REF!</definedName>
    <definedName name="bookmark895" localSheetId="1">'ĐƠN GIÁ'!#REF!</definedName>
    <definedName name="bookmark896" localSheetId="1">'ĐƠN GIÁ'!#REF!</definedName>
    <definedName name="bookmark897" localSheetId="1">'ĐƠN GIÁ'!#REF!</definedName>
    <definedName name="bookmark898" localSheetId="1">'ĐƠN GIÁ'!#REF!</definedName>
    <definedName name="bookmark899" localSheetId="1">'ĐƠN GIÁ'!#REF!</definedName>
    <definedName name="bookmark902" localSheetId="1">'ĐƠN GIÁ'!#REF!</definedName>
    <definedName name="bookmark903" localSheetId="1">'ĐƠN GIÁ'!#REF!</definedName>
    <definedName name="bookmark904" localSheetId="1">'ĐƠN GIÁ'!#REF!</definedName>
    <definedName name="bookmark905" localSheetId="1">'ĐƠN GIÁ'!#REF!</definedName>
    <definedName name="bookmark906" localSheetId="1">'ĐƠN GIÁ'!#REF!</definedName>
    <definedName name="bookmark907" localSheetId="1">'ĐƠN GIÁ'!#REF!</definedName>
    <definedName name="bookmark908" localSheetId="1">'ĐƠN GIÁ'!#REF!</definedName>
    <definedName name="bookmark909" localSheetId="1">'ĐƠN GIÁ'!#REF!</definedName>
    <definedName name="bookmark910" localSheetId="1">'ĐƠN GIÁ'!#REF!</definedName>
    <definedName name="bookmark911" localSheetId="1">'ĐƠN GIÁ'!#REF!</definedName>
    <definedName name="bookmark912" localSheetId="1">'ĐƠN GIÁ'!#REF!</definedName>
    <definedName name="bookmark913" localSheetId="1">'ĐƠN GIÁ'!#REF!</definedName>
    <definedName name="bookmark914" localSheetId="1">'ĐƠN GIÁ'!#REF!</definedName>
    <definedName name="bookmark915" localSheetId="1">'ĐƠN GIÁ'!#REF!</definedName>
    <definedName name="bookmark918" localSheetId="1">'ĐƠN GIÁ'!$B$894</definedName>
    <definedName name="bookmark920" localSheetId="1">'ĐƠN GIÁ'!#REF!</definedName>
    <definedName name="bookmark921" localSheetId="1">'ĐƠN GIÁ'!#REF!</definedName>
    <definedName name="bookmark922" localSheetId="1">'ĐƠN GIÁ'!#REF!</definedName>
    <definedName name="bookmark923" localSheetId="1">'ĐƠN GIÁ'!#REF!</definedName>
    <definedName name="bookmark924" localSheetId="1">'ĐƠN GIÁ'!#REF!</definedName>
    <definedName name="bookmark925" localSheetId="1">'ĐƠN GIÁ'!#REF!</definedName>
    <definedName name="bookmark926" localSheetId="1">'ĐƠN GIÁ'!#REF!</definedName>
    <definedName name="bookmark927" localSheetId="1">'ĐƠN GIÁ'!#REF!</definedName>
    <definedName name="bookmark928" localSheetId="1">'ĐƠN GIÁ'!#REF!</definedName>
    <definedName name="bookmark929" localSheetId="1">'ĐƠN GIÁ'!#REF!</definedName>
    <definedName name="bookmark930" localSheetId="1">'ĐƠN GIÁ'!#REF!</definedName>
    <definedName name="bookmark931" localSheetId="1">'ĐƠN GIÁ'!#REF!</definedName>
    <definedName name="bookmark932" localSheetId="1">'ĐƠN GIÁ'!#REF!</definedName>
    <definedName name="bookmark935" localSheetId="1">'ĐƠN GIÁ'!$B$915</definedName>
    <definedName name="bookmark937" localSheetId="1">'ĐƠN GIÁ'!#REF!</definedName>
    <definedName name="bookmark938" localSheetId="1">'ĐƠN GIÁ'!#REF!</definedName>
    <definedName name="bookmark939" localSheetId="1">'ĐƠN GIÁ'!#REF!</definedName>
    <definedName name="bookmark940" localSheetId="1">'ĐƠN GIÁ'!#REF!</definedName>
    <definedName name="bookmark941" localSheetId="1">'ĐƠN GIÁ'!#REF!</definedName>
    <definedName name="bookmark942" localSheetId="1">'ĐƠN GIÁ'!#REF!</definedName>
    <definedName name="bookmark943" localSheetId="1">'ĐƠN GIÁ'!#REF!</definedName>
    <definedName name="bookmark944" localSheetId="1">'ĐƠN GIÁ'!#REF!</definedName>
    <definedName name="bookmark945" localSheetId="1">'ĐƠN GIÁ'!#REF!</definedName>
    <definedName name="bookmark948" localSheetId="1">'ĐƠN GIÁ'!$B$930</definedName>
    <definedName name="bookmark950" localSheetId="1">'ĐƠN GIÁ'!#REF!</definedName>
    <definedName name="bookmark951" localSheetId="1">'ĐƠN GIÁ'!#REF!</definedName>
    <definedName name="bookmark952" localSheetId="1">'ĐƠN GIÁ'!#REF!</definedName>
    <definedName name="bookmark953" localSheetId="1">'ĐƠN GIÁ'!#REF!</definedName>
    <definedName name="bookmark954" localSheetId="1">'ĐƠN GIÁ'!#REF!</definedName>
    <definedName name="bookmark955" localSheetId="1">'ĐƠN GIÁ'!#REF!</definedName>
    <definedName name="bookmark956" localSheetId="1">'ĐƠN GIÁ'!#REF!</definedName>
    <definedName name="bookmark959" localSheetId="1">'ĐƠN GIÁ'!#REF!</definedName>
    <definedName name="bookmark960" localSheetId="1">'ĐƠN GIÁ'!#REF!</definedName>
    <definedName name="bookmark961" localSheetId="1">'ĐƠN GIÁ'!#REF!</definedName>
    <definedName name="bookmark962" localSheetId="1">'ĐƠN GIÁ'!#REF!</definedName>
    <definedName name="bookmark963" localSheetId="1">'ĐƠN GIÁ'!#REF!</definedName>
    <definedName name="bookmark964" localSheetId="1">'ĐƠN GIÁ'!#REF!</definedName>
    <definedName name="bookmark967" localSheetId="1">'ĐƠN GIÁ'!$B$959</definedName>
    <definedName name="bookmark969" localSheetId="1">'ĐƠN GIÁ'!#REF!</definedName>
    <definedName name="bookmark970" localSheetId="1">'ĐƠN GIÁ'!#REF!</definedName>
    <definedName name="bookmark971" localSheetId="1">'ĐƠN GIÁ'!#REF!</definedName>
    <definedName name="bookmark972" localSheetId="1">'ĐƠN GIÁ'!#REF!</definedName>
    <definedName name="bookmark973" localSheetId="1">'ĐƠN GIÁ'!#REF!</definedName>
    <definedName name="bookmark974" localSheetId="1">'ĐƠN GIÁ'!#REF!</definedName>
    <definedName name="bookmark975" localSheetId="1">'ĐƠN GIÁ'!#REF!</definedName>
    <definedName name="bookmark978" localSheetId="1">'ĐƠN GIÁ'!#REF!</definedName>
    <definedName name="bookmark979" localSheetId="1">'ĐƠN GIÁ'!#REF!</definedName>
    <definedName name="bookmark980" localSheetId="1">'ĐƠN GIÁ'!$B$977</definedName>
    <definedName name="bookmark981" localSheetId="1">'ĐƠN GIÁ'!#REF!</definedName>
    <definedName name="bookmark982" localSheetId="1">'ĐƠN GIÁ'!#REF!</definedName>
    <definedName name="bookmark983" localSheetId="1">'ĐƠN GIÁ'!#REF!</definedName>
    <definedName name="bookmark984" localSheetId="1">'ĐƠN GIÁ'!#REF!</definedName>
    <definedName name="bookmark985" localSheetId="1">'ĐƠN GIÁ'!#REF!</definedName>
    <definedName name="bookmark986" localSheetId="1">'ĐƠN GIÁ'!#REF!</definedName>
    <definedName name="bookmark987" localSheetId="1">'ĐƠN GIÁ'!#REF!</definedName>
    <definedName name="bookmark988" localSheetId="1">'ĐƠN GIÁ'!#REF!</definedName>
    <definedName name="bookmark989" localSheetId="1">'ĐƠN GIÁ'!#REF!</definedName>
    <definedName name="bookmark990" localSheetId="1">'ĐƠN GIÁ'!#REF!</definedName>
    <definedName name="bookmark991" localSheetId="1">'ĐƠN GIÁ'!#REF!</definedName>
    <definedName name="bookmark992" localSheetId="1">'ĐƠN GIÁ'!#REF!</definedName>
    <definedName name="bookmark993" localSheetId="1">'ĐƠN GIÁ'!#REF!</definedName>
    <definedName name="bookmark994" localSheetId="1">'ĐƠN GIÁ'!$B$997</definedName>
    <definedName name="bookmark995" localSheetId="1">'ĐƠN GIÁ'!#REF!</definedName>
    <definedName name="bookmark996" localSheetId="1">'ĐƠN GIÁ'!#REF!</definedName>
    <definedName name="bookmark997" localSheetId="1">'ĐƠN GIÁ'!#REF!</definedName>
    <definedName name="bookmark998" localSheetId="1">'ĐƠN GIÁ'!#REF!</definedName>
    <definedName name="bookmark999" localSheetId="1">'ĐƠN GIÁ'!#REF!</definedName>
    <definedName name="dieu_1_2" localSheetId="1">'ĐƠN GIÁ'!$A$2</definedName>
    <definedName name="dieu_1_3" localSheetId="1">'ĐƠN GIÁ'!$B$203</definedName>
    <definedName name="dieu_2_2" localSheetId="1">'ĐƠN GIÁ'!$A$24</definedName>
    <definedName name="dieu_2_3" localSheetId="1">'ĐƠN GIÁ'!$B$225</definedName>
    <definedName name="dieu_3_2" localSheetId="1">'ĐƠN GIÁ'!$A$48</definedName>
    <definedName name="muc_2_1_name" localSheetId="1">'ĐƠN GIÁ'!$B$202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7" i="1" l="1"/>
  <c r="B34" i="5"/>
  <c r="H33" i="1"/>
  <c r="H34" i="1"/>
  <c r="K438" i="1"/>
  <c r="K437" i="1"/>
  <c r="K440" i="1" s="1"/>
  <c r="H444" i="1"/>
  <c r="H443" i="1"/>
  <c r="E242" i="1"/>
  <c r="F242" i="1" s="1"/>
  <c r="E241" i="1"/>
  <c r="F241" i="1" s="1"/>
  <c r="D236" i="1"/>
  <c r="D235" i="1"/>
  <c r="E221" i="1"/>
  <c r="F221" i="1" s="1"/>
  <c r="E220" i="1"/>
  <c r="F220" i="1" s="1"/>
  <c r="E216" i="1"/>
  <c r="F216" i="1" s="1"/>
  <c r="D214" i="1"/>
  <c r="D213" i="1"/>
  <c r="E198" i="1"/>
  <c r="E197" i="1"/>
  <c r="F197" i="1" s="1"/>
  <c r="E194" i="1"/>
  <c r="F194" i="1" s="1"/>
  <c r="L171" i="1"/>
  <c r="L166" i="1"/>
  <c r="L169" i="1" s="1"/>
  <c r="L165" i="1"/>
  <c r="L168" i="1" s="1"/>
  <c r="H172" i="1"/>
  <c r="H171" i="1"/>
  <c r="H166" i="1"/>
  <c r="H169" i="1" s="1"/>
  <c r="H165" i="1"/>
  <c r="H168" i="1" s="1"/>
  <c r="E175" i="1"/>
  <c r="F175" i="1" s="1"/>
  <c r="I175" i="1" s="1"/>
  <c r="M175" i="1" s="1"/>
  <c r="E174" i="1"/>
  <c r="F174" i="1" s="1"/>
  <c r="E171" i="1"/>
  <c r="F171" i="1" s="1"/>
  <c r="L144" i="1"/>
  <c r="L139" i="1"/>
  <c r="L142" i="1" s="1"/>
  <c r="L138" i="1"/>
  <c r="L141" i="1" s="1"/>
  <c r="H145" i="1"/>
  <c r="H144" i="1"/>
  <c r="H139" i="1"/>
  <c r="H142" i="1" s="1"/>
  <c r="H138" i="1"/>
  <c r="H141" i="1" s="1"/>
  <c r="E149" i="1"/>
  <c r="F149" i="1" s="1"/>
  <c r="E148" i="1"/>
  <c r="F148" i="1" s="1"/>
  <c r="E147" i="1"/>
  <c r="F147" i="1" s="1"/>
  <c r="L118" i="1"/>
  <c r="L117" i="1"/>
  <c r="L112" i="1"/>
  <c r="L115" i="1" s="1"/>
  <c r="L111" i="1"/>
  <c r="L114" i="1" s="1"/>
  <c r="H118" i="1"/>
  <c r="H117" i="1"/>
  <c r="H112" i="1"/>
  <c r="H111" i="1"/>
  <c r="H114" i="1" s="1"/>
  <c r="E122" i="1"/>
  <c r="F122" i="1" s="1"/>
  <c r="E121" i="1"/>
  <c r="F121" i="1" s="1"/>
  <c r="I121" i="1" s="1"/>
  <c r="E120" i="1"/>
  <c r="F120" i="1" s="1"/>
  <c r="I120" i="1" s="1"/>
  <c r="D115" i="1"/>
  <c r="D114" i="1"/>
  <c r="L91" i="1"/>
  <c r="L86" i="1"/>
  <c r="L89" i="1" s="1"/>
  <c r="L85" i="1"/>
  <c r="L88" i="1" s="1"/>
  <c r="H92" i="1"/>
  <c r="H91" i="1"/>
  <c r="H86" i="1"/>
  <c r="H89" i="1" s="1"/>
  <c r="H85" i="1"/>
  <c r="H88" i="1" s="1"/>
  <c r="E95" i="1"/>
  <c r="F95" i="1" s="1"/>
  <c r="I95" i="1" s="1"/>
  <c r="M95" i="1" s="1"/>
  <c r="E94" i="1"/>
  <c r="F94" i="1" s="1"/>
  <c r="F7" i="3"/>
  <c r="E117" i="1" s="1"/>
  <c r="F117" i="1" s="1"/>
  <c r="F198" i="1"/>
  <c r="D192" i="1"/>
  <c r="D191" i="1"/>
  <c r="D169" i="1"/>
  <c r="D168" i="1"/>
  <c r="D142" i="1"/>
  <c r="D141" i="1"/>
  <c r="D89" i="1"/>
  <c r="D88" i="1"/>
  <c r="E91" i="1" l="1"/>
  <c r="F91" i="1" s="1"/>
  <c r="E238" i="1"/>
  <c r="F238" i="1" s="1"/>
  <c r="E144" i="1"/>
  <c r="F144" i="1" s="1"/>
  <c r="I122" i="1"/>
  <c r="M122" i="1" s="1"/>
  <c r="M147" i="1"/>
  <c r="I147" i="1"/>
  <c r="M149" i="1"/>
  <c r="I148" i="1"/>
  <c r="F240" i="1"/>
  <c r="F30" i="5" s="1"/>
  <c r="I149" i="1"/>
  <c r="M148" i="1"/>
  <c r="M121" i="1"/>
  <c r="F173" i="1"/>
  <c r="F219" i="1"/>
  <c r="F29" i="5" s="1"/>
  <c r="I171" i="1"/>
  <c r="M171" i="1"/>
  <c r="F146" i="1"/>
  <c r="F119" i="1"/>
  <c r="F18" i="5" s="1"/>
  <c r="M117" i="1"/>
  <c r="F196" i="1"/>
  <c r="F27" i="5" s="1"/>
  <c r="I91" i="1"/>
  <c r="H115" i="1"/>
  <c r="M144" i="1"/>
  <c r="I94" i="1"/>
  <c r="I93" i="1" s="1"/>
  <c r="F93" i="1"/>
  <c r="F15" i="5" s="1"/>
  <c r="I117" i="1"/>
  <c r="M91" i="1"/>
  <c r="M90" i="1" s="1"/>
  <c r="I144" i="1"/>
  <c r="I174" i="1"/>
  <c r="I119" i="1" l="1"/>
  <c r="M146" i="1"/>
  <c r="N146" i="1" s="1"/>
  <c r="F24" i="5"/>
  <c r="I146" i="1"/>
  <c r="J146" i="1" s="1"/>
  <c r="F21" i="5"/>
  <c r="J119" i="1"/>
  <c r="M120" i="1"/>
  <c r="M119" i="1" s="1"/>
  <c r="N119" i="1" s="1"/>
  <c r="M94" i="1"/>
  <c r="M93" i="1" s="1"/>
  <c r="M174" i="1"/>
  <c r="M173" i="1" s="1"/>
  <c r="N173" i="1" s="1"/>
  <c r="I173" i="1"/>
  <c r="J173" i="1" s="1"/>
  <c r="H566" i="1" l="1"/>
  <c r="H569" i="1" s="1"/>
  <c r="H572" i="1"/>
  <c r="H567" i="1"/>
  <c r="H570" i="1" s="1"/>
  <c r="D506" i="1"/>
  <c r="D464" i="1"/>
  <c r="K441" i="1"/>
  <c r="H446" i="1"/>
  <c r="D440" i="1"/>
  <c r="H418" i="1"/>
  <c r="H416" i="1"/>
  <c r="K381" i="1"/>
  <c r="K380" i="1"/>
  <c r="H390" i="1"/>
  <c r="H389" i="1"/>
  <c r="H387" i="1"/>
  <c r="H386" i="1"/>
  <c r="H381" i="1"/>
  <c r="H384" i="1" s="1"/>
  <c r="H380" i="1"/>
  <c r="H383" i="1" s="1"/>
  <c r="B39" i="5"/>
  <c r="D258" i="1"/>
  <c r="D257" i="1"/>
  <c r="B50" i="5"/>
  <c r="B91" i="5"/>
  <c r="D1084" i="1"/>
  <c r="E1086" i="1"/>
  <c r="F1086" i="1" s="1"/>
  <c r="F1085" i="1" s="1"/>
  <c r="E91" i="5" s="1"/>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5" i="5"/>
  <c r="B54" i="5"/>
  <c r="B53" i="5"/>
  <c r="B52" i="5"/>
  <c r="B51" i="5"/>
  <c r="B49" i="5"/>
  <c r="B46" i="5"/>
  <c r="B43" i="5"/>
  <c r="B40" i="5"/>
  <c r="B38" i="5"/>
  <c r="B37" i="5"/>
  <c r="D651" i="1"/>
  <c r="D650" i="1"/>
  <c r="D799" i="1"/>
  <c r="D798" i="1"/>
  <c r="D840" i="1"/>
  <c r="D839" i="1"/>
  <c r="D1066" i="1"/>
  <c r="E1070" i="1"/>
  <c r="F1070" i="1" s="1"/>
  <c r="F1069" i="1" s="1"/>
  <c r="F89" i="5" s="1"/>
  <c r="E1068" i="1"/>
  <c r="F1068" i="1" s="1"/>
  <c r="F1067" i="1" s="1"/>
  <c r="E89" i="5" s="1"/>
  <c r="D1045" i="1"/>
  <c r="E1051" i="1"/>
  <c r="F1051" i="1" s="1"/>
  <c r="E1050" i="1"/>
  <c r="F1050" i="1" s="1"/>
  <c r="E1047" i="1"/>
  <c r="F1047" i="1" s="1"/>
  <c r="D1026" i="1"/>
  <c r="E1032" i="1"/>
  <c r="F1032" i="1" s="1"/>
  <c r="E1031" i="1"/>
  <c r="F1031" i="1" s="1"/>
  <c r="E1028" i="1"/>
  <c r="F1028" i="1" s="1"/>
  <c r="D1006" i="1"/>
  <c r="E1013" i="1"/>
  <c r="F1013" i="1" s="1"/>
  <c r="E1012" i="1"/>
  <c r="F1012" i="1" s="1"/>
  <c r="E1011" i="1"/>
  <c r="F1011" i="1" s="1"/>
  <c r="E1008" i="1"/>
  <c r="F1008" i="1" s="1"/>
  <c r="D986" i="1"/>
  <c r="E993" i="1"/>
  <c r="F993" i="1" s="1"/>
  <c r="E992" i="1"/>
  <c r="F992" i="1" s="1"/>
  <c r="E991" i="1"/>
  <c r="F991" i="1" s="1"/>
  <c r="E988" i="1"/>
  <c r="F988" i="1" s="1"/>
  <c r="D968" i="1"/>
  <c r="E972" i="1"/>
  <c r="F972" i="1" s="1"/>
  <c r="F971" i="1" s="1"/>
  <c r="F83" i="5" s="1"/>
  <c r="D955" i="1"/>
  <c r="D939" i="1"/>
  <c r="E941" i="1"/>
  <c r="F941" i="1" s="1"/>
  <c r="F940" i="1" s="1"/>
  <c r="E80" i="5" s="1"/>
  <c r="D924" i="1"/>
  <c r="E926" i="1"/>
  <c r="F926" i="1" s="1"/>
  <c r="D905" i="1"/>
  <c r="D904" i="1"/>
  <c r="E911" i="1"/>
  <c r="F911" i="1" s="1"/>
  <c r="E910" i="1"/>
  <c r="F910" i="1" s="1"/>
  <c r="E907" i="1"/>
  <c r="F907" i="1" s="1"/>
  <c r="D883" i="1"/>
  <c r="D882" i="1"/>
  <c r="E890" i="1"/>
  <c r="F890" i="1" s="1"/>
  <c r="E889" i="1"/>
  <c r="F889" i="1" s="1"/>
  <c r="E888" i="1"/>
  <c r="F888" i="1" s="1"/>
  <c r="E885" i="1"/>
  <c r="F885" i="1" s="1"/>
  <c r="D861" i="1"/>
  <c r="D860" i="1"/>
  <c r="E867" i="1"/>
  <c r="F867" i="1" s="1"/>
  <c r="E866" i="1"/>
  <c r="F866" i="1" s="1"/>
  <c r="E863" i="1"/>
  <c r="F863" i="1" s="1"/>
  <c r="E846" i="1"/>
  <c r="F846" i="1" s="1"/>
  <c r="E845" i="1"/>
  <c r="F845" i="1" s="1"/>
  <c r="E842" i="1"/>
  <c r="F842" i="1" s="1"/>
  <c r="E825" i="1"/>
  <c r="F825" i="1" s="1"/>
  <c r="E824" i="1"/>
  <c r="F824" i="1" s="1"/>
  <c r="E821" i="1"/>
  <c r="F821" i="1" s="1"/>
  <c r="E805" i="1"/>
  <c r="F805" i="1" s="1"/>
  <c r="E804" i="1"/>
  <c r="F804" i="1" s="1"/>
  <c r="E801" i="1"/>
  <c r="F801" i="1" s="1"/>
  <c r="D778" i="1"/>
  <c r="D777" i="1"/>
  <c r="E784" i="1"/>
  <c r="F784" i="1" s="1"/>
  <c r="E783" i="1"/>
  <c r="F783" i="1" s="1"/>
  <c r="E780" i="1"/>
  <c r="F780" i="1" s="1"/>
  <c r="D757" i="1"/>
  <c r="D756" i="1"/>
  <c r="E763" i="1"/>
  <c r="F763" i="1" s="1"/>
  <c r="E762" i="1"/>
  <c r="F762" i="1" s="1"/>
  <c r="E759" i="1"/>
  <c r="F759" i="1" s="1"/>
  <c r="E741" i="1"/>
  <c r="F741" i="1" s="1"/>
  <c r="F740" i="1" s="1"/>
  <c r="E67" i="5" s="1"/>
  <c r="D739" i="1"/>
  <c r="D738" i="1"/>
  <c r="D722" i="1"/>
  <c r="D721" i="1"/>
  <c r="E724" i="1"/>
  <c r="F724" i="1" s="1"/>
  <c r="F723" i="1" s="1"/>
  <c r="E66" i="5" s="1"/>
  <c r="D704" i="1"/>
  <c r="E706" i="1"/>
  <c r="F706" i="1" s="1"/>
  <c r="E691" i="1"/>
  <c r="F691" i="1" s="1"/>
  <c r="E690" i="1"/>
  <c r="F690" i="1" s="1"/>
  <c r="E689" i="1"/>
  <c r="F689" i="1" s="1"/>
  <c r="E686" i="1"/>
  <c r="F686" i="1" s="1"/>
  <c r="D684" i="1"/>
  <c r="E671" i="1"/>
  <c r="F671" i="1" s="1"/>
  <c r="F670" i="1" s="1"/>
  <c r="E63" i="5" s="1"/>
  <c r="D669" i="1"/>
  <c r="D668" i="1"/>
  <c r="E653" i="1"/>
  <c r="F653" i="1" s="1"/>
  <c r="D633" i="1"/>
  <c r="D632" i="1"/>
  <c r="E635" i="1"/>
  <c r="F635" i="1" s="1"/>
  <c r="D611" i="1"/>
  <c r="D610" i="1"/>
  <c r="E617" i="1"/>
  <c r="F617" i="1" s="1"/>
  <c r="E616" i="1"/>
  <c r="F616" i="1" s="1"/>
  <c r="E613" i="1"/>
  <c r="F613" i="1" s="1"/>
  <c r="D590" i="1"/>
  <c r="D589" i="1"/>
  <c r="E596" i="1"/>
  <c r="F596" i="1" s="1"/>
  <c r="E595" i="1"/>
  <c r="F595" i="1" s="1"/>
  <c r="E592" i="1"/>
  <c r="F592" i="1" s="1"/>
  <c r="H564" i="1"/>
  <c r="D570" i="1"/>
  <c r="D569" i="1"/>
  <c r="E572" i="1"/>
  <c r="F572" i="1" s="1"/>
  <c r="F571" i="1" s="1"/>
  <c r="E55" i="5" s="1"/>
  <c r="D547" i="1"/>
  <c r="E553" i="1"/>
  <c r="F553" i="1" s="1"/>
  <c r="E552" i="1"/>
  <c r="F552" i="1" s="1"/>
  <c r="E549" i="1"/>
  <c r="F549" i="1" s="1"/>
  <c r="D528" i="1"/>
  <c r="D527" i="1"/>
  <c r="E534" i="1"/>
  <c r="F534" i="1" s="1"/>
  <c r="E533" i="1"/>
  <c r="F533" i="1" s="1"/>
  <c r="E530" i="1"/>
  <c r="F530" i="1" s="1"/>
  <c r="D507" i="1"/>
  <c r="E513" i="1"/>
  <c r="F513" i="1" s="1"/>
  <c r="E512" i="1"/>
  <c r="F512" i="1" s="1"/>
  <c r="E509" i="1"/>
  <c r="F509" i="1" s="1"/>
  <c r="D486" i="1"/>
  <c r="D485" i="1"/>
  <c r="E492" i="1"/>
  <c r="F492" i="1" s="1"/>
  <c r="E491" i="1"/>
  <c r="F491" i="1" s="1"/>
  <c r="E488" i="1"/>
  <c r="F488" i="1" s="1"/>
  <c r="E471" i="1"/>
  <c r="F471" i="1" s="1"/>
  <c r="E470" i="1"/>
  <c r="F470" i="1" s="1"/>
  <c r="E467" i="1"/>
  <c r="F467" i="1" s="1"/>
  <c r="D465" i="1"/>
  <c r="G439" i="1"/>
  <c r="G445" i="1"/>
  <c r="G442" i="1"/>
  <c r="G436" i="1"/>
  <c r="K435" i="1"/>
  <c r="K443" i="1"/>
  <c r="K444" i="1"/>
  <c r="K446" i="1"/>
  <c r="K447" i="1"/>
  <c r="H438" i="1"/>
  <c r="H441" i="1" s="1"/>
  <c r="H447" i="1"/>
  <c r="H437" i="1"/>
  <c r="H440" i="1" s="1"/>
  <c r="E447" i="1"/>
  <c r="E446" i="1"/>
  <c r="F446" i="1" s="1"/>
  <c r="E443" i="1"/>
  <c r="F443" i="1" s="1"/>
  <c r="D441" i="1"/>
  <c r="D413" i="1"/>
  <c r="D412" i="1"/>
  <c r="G407" i="1"/>
  <c r="H407" i="1"/>
  <c r="G420" i="1"/>
  <c r="G421" i="1" s="1"/>
  <c r="H420" i="1"/>
  <c r="H421" i="1" s="1"/>
  <c r="K410" i="1"/>
  <c r="K413" i="1" s="1"/>
  <c r="K411" i="1"/>
  <c r="K407" i="1" s="1"/>
  <c r="K414" i="1"/>
  <c r="K415" i="1"/>
  <c r="K416" i="1"/>
  <c r="K417" i="1"/>
  <c r="K418" i="1"/>
  <c r="K419" i="1"/>
  <c r="K409" i="1"/>
  <c r="K412" i="1" s="1"/>
  <c r="K386" i="1"/>
  <c r="K387" i="1"/>
  <c r="K389" i="1"/>
  <c r="K390" i="1"/>
  <c r="H419" i="1"/>
  <c r="H415" i="1"/>
  <c r="H410" i="1"/>
  <c r="H413" i="1" s="1"/>
  <c r="H409" i="1"/>
  <c r="H412" i="1" s="1"/>
  <c r="E419" i="1"/>
  <c r="E418" i="1"/>
  <c r="F418" i="1" s="1"/>
  <c r="E415" i="1"/>
  <c r="E390" i="1"/>
  <c r="F390" i="1" s="1"/>
  <c r="E389" i="1"/>
  <c r="F389" i="1" s="1"/>
  <c r="E386" i="1"/>
  <c r="D384" i="1"/>
  <c r="K384" i="1" s="1"/>
  <c r="D383" i="1"/>
  <c r="K383" i="1" s="1"/>
  <c r="D357" i="1"/>
  <c r="D356" i="1"/>
  <c r="D336" i="1"/>
  <c r="D335" i="1"/>
  <c r="E363" i="1"/>
  <c r="F363" i="1" s="1"/>
  <c r="E362" i="1"/>
  <c r="F362" i="1" s="1"/>
  <c r="E359" i="1"/>
  <c r="F359" i="1" s="1"/>
  <c r="E342" i="1"/>
  <c r="F342" i="1" s="1"/>
  <c r="E341" i="1"/>
  <c r="F341" i="1" s="1"/>
  <c r="E338" i="1"/>
  <c r="F338" i="1" s="1"/>
  <c r="B33" i="5"/>
  <c r="B32" i="5"/>
  <c r="B36" i="5"/>
  <c r="B35" i="5"/>
  <c r="B31" i="5"/>
  <c r="E320" i="1"/>
  <c r="F320" i="1" s="1"/>
  <c r="D301" i="1"/>
  <c r="D300" i="1"/>
  <c r="D318" i="1"/>
  <c r="D317" i="1"/>
  <c r="E303" i="1"/>
  <c r="F303" i="1" s="1"/>
  <c r="F302" i="1" s="1"/>
  <c r="E35" i="5" s="1"/>
  <c r="E285" i="1"/>
  <c r="F285" i="1" s="1"/>
  <c r="E284" i="1"/>
  <c r="F284" i="1" s="1"/>
  <c r="E281" i="1"/>
  <c r="F281" i="1" s="1"/>
  <c r="D279" i="1"/>
  <c r="D278" i="1"/>
  <c r="E259" i="1"/>
  <c r="D37" i="1"/>
  <c r="D36" i="1"/>
  <c r="E264" i="1"/>
  <c r="F264" i="1" s="1"/>
  <c r="E263" i="1"/>
  <c r="F263" i="1" s="1"/>
  <c r="E260" i="1"/>
  <c r="F260" i="1" s="1"/>
  <c r="I1068" i="1" l="1"/>
  <c r="I1067" i="1" s="1"/>
  <c r="E90" i="5" s="1"/>
  <c r="I1070" i="1"/>
  <c r="I1069" i="1" s="1"/>
  <c r="F90" i="5" s="1"/>
  <c r="F1030" i="1"/>
  <c r="F87" i="5" s="1"/>
  <c r="F990" i="1"/>
  <c r="F85" i="5" s="1"/>
  <c r="F887" i="1"/>
  <c r="F77" i="5" s="1"/>
  <c r="F688" i="1"/>
  <c r="F64" i="5" s="1"/>
  <c r="F511" i="1"/>
  <c r="F52" i="5" s="1"/>
  <c r="F469" i="1"/>
  <c r="F50" i="5" s="1"/>
  <c r="I386" i="1"/>
  <c r="L447" i="1"/>
  <c r="L415" i="1"/>
  <c r="F340" i="1"/>
  <c r="F37" i="5" s="1"/>
  <c r="I389" i="1"/>
  <c r="I390" i="1"/>
  <c r="F361" i="1"/>
  <c r="F38" i="5" s="1"/>
  <c r="F262" i="1"/>
  <c r="F32" i="5" s="1"/>
  <c r="F283" i="1"/>
  <c r="F33" i="5" s="1"/>
  <c r="F1049" i="1"/>
  <c r="F88" i="5" s="1"/>
  <c r="F1010" i="1"/>
  <c r="F86" i="5" s="1"/>
  <c r="F925" i="1"/>
  <c r="E79" i="5" s="1"/>
  <c r="F909" i="1"/>
  <c r="F78" i="5" s="1"/>
  <c r="F844" i="1"/>
  <c r="F74" i="5" s="1"/>
  <c r="F865" i="1"/>
  <c r="F75" i="5" s="1"/>
  <c r="F823" i="1"/>
  <c r="F73" i="5" s="1"/>
  <c r="F803" i="1"/>
  <c r="F71" i="5" s="1"/>
  <c r="F782" i="1"/>
  <c r="F70" i="5" s="1"/>
  <c r="F761" i="1"/>
  <c r="F69" i="5" s="1"/>
  <c r="F594" i="1"/>
  <c r="F58" i="5" s="1"/>
  <c r="F615" i="1"/>
  <c r="F59" i="5" s="1"/>
  <c r="I572" i="1"/>
  <c r="F551" i="1"/>
  <c r="F54" i="5" s="1"/>
  <c r="F532" i="1"/>
  <c r="F53" i="5" s="1"/>
  <c r="G435" i="1"/>
  <c r="G434" i="1" s="1"/>
  <c r="G448" i="1" s="1"/>
  <c r="F490" i="1"/>
  <c r="F51" i="5" s="1"/>
  <c r="L446" i="1"/>
  <c r="F447" i="1"/>
  <c r="F445" i="1" s="1"/>
  <c r="I446" i="1"/>
  <c r="L419" i="1"/>
  <c r="I443" i="1"/>
  <c r="L443" i="1"/>
  <c r="I447" i="1"/>
  <c r="H435" i="1"/>
  <c r="K406" i="1"/>
  <c r="K420" i="1" s="1"/>
  <c r="K421" i="1" s="1"/>
  <c r="L418" i="1"/>
  <c r="I415" i="1"/>
  <c r="L389" i="1"/>
  <c r="I419" i="1"/>
  <c r="L390" i="1"/>
  <c r="I418" i="1"/>
  <c r="L386" i="1"/>
  <c r="F419" i="1"/>
  <c r="F417" i="1" s="1"/>
  <c r="F415" i="1"/>
  <c r="F388" i="1"/>
  <c r="F386" i="1"/>
  <c r="F43" i="5" l="1"/>
  <c r="F40" i="5"/>
  <c r="I571" i="1"/>
  <c r="J571" i="1" s="1"/>
  <c r="E56" i="5" s="1"/>
  <c r="L445" i="1"/>
  <c r="M445" i="1" s="1"/>
  <c r="F48" i="5" s="1"/>
  <c r="I445" i="1"/>
  <c r="J445" i="1" s="1"/>
  <c r="F47" i="5" s="1"/>
  <c r="I388" i="1"/>
  <c r="J388" i="1" s="1"/>
  <c r="F41" i="5" s="1"/>
  <c r="F46" i="5"/>
  <c r="L388" i="1"/>
  <c r="M388" i="1" s="1"/>
  <c r="F42" i="5" s="1"/>
  <c r="G449" i="1"/>
  <c r="L417" i="1"/>
  <c r="M417" i="1" s="1"/>
  <c r="F45" i="5" s="1"/>
  <c r="I417" i="1"/>
  <c r="J417" i="1" s="1"/>
  <c r="F44" i="5" s="1"/>
  <c r="M65" i="1"/>
  <c r="M60" i="1"/>
  <c r="M59" i="1"/>
  <c r="H66" i="1"/>
  <c r="H65" i="1"/>
  <c r="H60" i="1"/>
  <c r="H63" i="1" s="1"/>
  <c r="H59" i="1"/>
  <c r="H62" i="1" s="1"/>
  <c r="E69" i="1"/>
  <c r="F69" i="1" s="1"/>
  <c r="I69" i="1" s="1"/>
  <c r="N69" i="1" s="1"/>
  <c r="E68" i="1"/>
  <c r="F68" i="1" s="1"/>
  <c r="D63" i="1"/>
  <c r="D62" i="1"/>
  <c r="M62" i="1" s="1"/>
  <c r="E41" i="1"/>
  <c r="F41" i="1" s="1"/>
  <c r="F9" i="5" s="1"/>
  <c r="E42" i="1"/>
  <c r="F42" i="1" s="1"/>
  <c r="M39" i="1"/>
  <c r="M33" i="1"/>
  <c r="M36" i="1" s="1"/>
  <c r="H39" i="1"/>
  <c r="H36" i="1"/>
  <c r="F8" i="3"/>
  <c r="F9" i="3"/>
  <c r="F10" i="3"/>
  <c r="E970" i="1" s="1"/>
  <c r="F970" i="1" s="1"/>
  <c r="F969" i="1" s="1"/>
  <c r="E83" i="5" s="1"/>
  <c r="F11" i="3"/>
  <c r="F12" i="3"/>
  <c r="E17" i="1" s="1"/>
  <c r="E65" i="1"/>
  <c r="F65" i="1" s="1"/>
  <c r="E218" i="1" l="1"/>
  <c r="F218" i="1" s="1"/>
  <c r="E707" i="1"/>
  <c r="F707" i="1" s="1"/>
  <c r="F705" i="1" s="1"/>
  <c r="E65" i="5" s="1"/>
  <c r="E654" i="1"/>
  <c r="F654" i="1" s="1"/>
  <c r="F652" i="1" s="1"/>
  <c r="E62" i="5" s="1"/>
  <c r="E636" i="1"/>
  <c r="F636" i="1" s="1"/>
  <c r="F634" i="1" s="1"/>
  <c r="E61" i="5" s="1"/>
  <c r="E321" i="1"/>
  <c r="F321" i="1" s="1"/>
  <c r="F319" i="1" s="1"/>
  <c r="E36" i="5" s="1"/>
  <c r="E66" i="1"/>
  <c r="E145" i="1"/>
  <c r="E217" i="1"/>
  <c r="F217" i="1" s="1"/>
  <c r="F215" i="1" s="1"/>
  <c r="E29" i="5" s="1"/>
  <c r="E172" i="1"/>
  <c r="E239" i="1"/>
  <c r="F239" i="1" s="1"/>
  <c r="F237" i="1" s="1"/>
  <c r="E30" i="5" s="1"/>
  <c r="E118" i="1"/>
  <c r="E195" i="1"/>
  <c r="F195" i="1" s="1"/>
  <c r="F193" i="1" s="1"/>
  <c r="E27" i="5" s="1"/>
  <c r="E92" i="1"/>
  <c r="E1029" i="1"/>
  <c r="F1029" i="1" s="1"/>
  <c r="F1027" i="1" s="1"/>
  <c r="E87" i="5" s="1"/>
  <c r="E908" i="1"/>
  <c r="F908" i="1" s="1"/>
  <c r="F906" i="1" s="1"/>
  <c r="E78" i="5" s="1"/>
  <c r="E416" i="1"/>
  <c r="E339" i="1"/>
  <c r="F339" i="1" s="1"/>
  <c r="F337" i="1" s="1"/>
  <c r="E37" i="5" s="1"/>
  <c r="E510" i="1"/>
  <c r="F510" i="1" s="1"/>
  <c r="F508" i="1" s="1"/>
  <c r="E52" i="5" s="1"/>
  <c r="E550" i="1"/>
  <c r="F550" i="1" s="1"/>
  <c r="F548" i="1" s="1"/>
  <c r="E54" i="5" s="1"/>
  <c r="E802" i="1"/>
  <c r="F802" i="1" s="1"/>
  <c r="F800" i="1" s="1"/>
  <c r="E71" i="5" s="1"/>
  <c r="E781" i="1"/>
  <c r="F781" i="1" s="1"/>
  <c r="F779" i="1" s="1"/>
  <c r="E70" i="5" s="1"/>
  <c r="E760" i="1"/>
  <c r="F760" i="1" s="1"/>
  <c r="F758" i="1" s="1"/>
  <c r="E69" i="5" s="1"/>
  <c r="E531" i="1"/>
  <c r="F531" i="1" s="1"/>
  <c r="F529" i="1" s="1"/>
  <c r="E53" i="5" s="1"/>
  <c r="E444" i="1"/>
  <c r="E360" i="1"/>
  <c r="F360" i="1" s="1"/>
  <c r="F358" i="1" s="1"/>
  <c r="E38" i="5" s="1"/>
  <c r="E468" i="1"/>
  <c r="F468" i="1" s="1"/>
  <c r="F466" i="1" s="1"/>
  <c r="E50" i="5" s="1"/>
  <c r="E1048" i="1"/>
  <c r="F1048" i="1" s="1"/>
  <c r="F1046" i="1" s="1"/>
  <c r="E88" i="5" s="1"/>
  <c r="E989" i="1"/>
  <c r="F989" i="1" s="1"/>
  <c r="F987" i="1" s="1"/>
  <c r="E85" i="5" s="1"/>
  <c r="E822" i="1"/>
  <c r="F822" i="1" s="1"/>
  <c r="F820" i="1" s="1"/>
  <c r="E73" i="5" s="1"/>
  <c r="E614" i="1"/>
  <c r="F614" i="1" s="1"/>
  <c r="F612" i="1" s="1"/>
  <c r="E59" i="5" s="1"/>
  <c r="E387" i="1"/>
  <c r="E843" i="1"/>
  <c r="F843" i="1" s="1"/>
  <c r="F841" i="1" s="1"/>
  <c r="E74" i="5" s="1"/>
  <c r="E687" i="1"/>
  <c r="F687" i="1" s="1"/>
  <c r="F685" i="1" s="1"/>
  <c r="E64" i="5" s="1"/>
  <c r="E864" i="1"/>
  <c r="F864" i="1" s="1"/>
  <c r="F862" i="1" s="1"/>
  <c r="E75" i="5" s="1"/>
  <c r="E489" i="1"/>
  <c r="F489" i="1" s="1"/>
  <c r="F487" i="1" s="1"/>
  <c r="E51" i="5" s="1"/>
  <c r="E1009" i="1"/>
  <c r="F1009" i="1" s="1"/>
  <c r="F1007" i="1" s="1"/>
  <c r="E86" i="5" s="1"/>
  <c r="E593" i="1"/>
  <c r="F593" i="1" s="1"/>
  <c r="F591" i="1" s="1"/>
  <c r="E58" i="5" s="1"/>
  <c r="E282" i="1"/>
  <c r="F282" i="1" s="1"/>
  <c r="F280" i="1" s="1"/>
  <c r="E33" i="5" s="1"/>
  <c r="E886" i="1"/>
  <c r="F886" i="1" s="1"/>
  <c r="F884" i="1" s="1"/>
  <c r="E77" i="5" s="1"/>
  <c r="E261" i="1"/>
  <c r="F261" i="1" s="1"/>
  <c r="F259" i="1" s="1"/>
  <c r="E32" i="5" s="1"/>
  <c r="I66" i="1"/>
  <c r="F66" i="1"/>
  <c r="F64" i="1" s="1"/>
  <c r="I65" i="1"/>
  <c r="I68" i="1"/>
  <c r="F67" i="1"/>
  <c r="E39" i="1"/>
  <c r="I39" i="1" s="1"/>
  <c r="N65" i="1"/>
  <c r="N64" i="1" s="1"/>
  <c r="H37" i="1"/>
  <c r="D5" i="2"/>
  <c r="E5" i="2" s="1"/>
  <c r="F5" i="2" s="1"/>
  <c r="G5" i="2" s="1"/>
  <c r="E15" i="1"/>
  <c r="F15" i="1" s="1"/>
  <c r="E16" i="1"/>
  <c r="F16" i="1" s="1"/>
  <c r="F17" i="1"/>
  <c r="E20" i="1"/>
  <c r="F20" i="1" s="1"/>
  <c r="E19" i="1"/>
  <c r="F19" i="1" s="1"/>
  <c r="F13" i="1"/>
  <c r="D6" i="2"/>
  <c r="E6" i="2" s="1"/>
  <c r="F6" i="2" s="1"/>
  <c r="G6" i="2" s="1"/>
  <c r="D7" i="2"/>
  <c r="E7" i="2" s="1"/>
  <c r="F7" i="2" s="1"/>
  <c r="G7" i="2" s="1"/>
  <c r="D8" i="2"/>
  <c r="E8" i="2" s="1"/>
  <c r="F8" i="2" s="1"/>
  <c r="G8" i="2" s="1"/>
  <c r="D9" i="2"/>
  <c r="E9" i="2" s="1"/>
  <c r="F9" i="2" s="1"/>
  <c r="G9" i="2" s="1"/>
  <c r="D10" i="2"/>
  <c r="E10" i="2" s="1"/>
  <c r="F10" i="2" s="1"/>
  <c r="G10" i="2" s="1"/>
  <c r="D11" i="2"/>
  <c r="E11" i="2" s="1"/>
  <c r="F11" i="2" s="1"/>
  <c r="G11" i="2" s="1"/>
  <c r="D12" i="1"/>
  <c r="F387" i="1" l="1"/>
  <c r="F385" i="1" s="1"/>
  <c r="E40" i="5" s="1"/>
  <c r="I387" i="1"/>
  <c r="I385" i="1" s="1"/>
  <c r="J385" i="1" s="1"/>
  <c r="E41" i="5" s="1"/>
  <c r="L387" i="1"/>
  <c r="L385" i="1" s="1"/>
  <c r="M385" i="1" s="1"/>
  <c r="E42" i="5" s="1"/>
  <c r="M145" i="1"/>
  <c r="M143" i="1" s="1"/>
  <c r="I145" i="1"/>
  <c r="I143" i="1" s="1"/>
  <c r="J143" i="1" s="1"/>
  <c r="E22" i="5" s="1"/>
  <c r="F145" i="1"/>
  <c r="F143" i="1" s="1"/>
  <c r="F92" i="1"/>
  <c r="F90" i="1" s="1"/>
  <c r="I92" i="1"/>
  <c r="I90" i="1" s="1"/>
  <c r="J90" i="1" s="1"/>
  <c r="E16" i="5" s="1"/>
  <c r="F416" i="1"/>
  <c r="F414" i="1" s="1"/>
  <c r="I416" i="1"/>
  <c r="I414" i="1" s="1"/>
  <c r="J414" i="1" s="1"/>
  <c r="E44" i="5" s="1"/>
  <c r="L416" i="1"/>
  <c r="L414" i="1" s="1"/>
  <c r="E33" i="1"/>
  <c r="E36" i="1" s="1"/>
  <c r="F36" i="1" s="1"/>
  <c r="E165" i="1"/>
  <c r="E111" i="1"/>
  <c r="E85" i="1"/>
  <c r="F118" i="1"/>
  <c r="F116" i="1" s="1"/>
  <c r="E18" i="5" s="1"/>
  <c r="I118" i="1"/>
  <c r="I116" i="1" s="1"/>
  <c r="M118" i="1"/>
  <c r="M116" i="1" s="1"/>
  <c r="E112" i="1"/>
  <c r="E86" i="1"/>
  <c r="E166" i="1"/>
  <c r="E630" i="1"/>
  <c r="E837" i="1"/>
  <c r="E648" i="1"/>
  <c r="E858" i="1"/>
  <c r="E298" i="1"/>
  <c r="E315" i="1"/>
  <c r="E719" i="1"/>
  <c r="E666" i="1"/>
  <c r="E736" i="1"/>
  <c r="E139" i="1"/>
  <c r="E233" i="1"/>
  <c r="E211" i="1"/>
  <c r="E189" i="1"/>
  <c r="E902" i="1"/>
  <c r="E410" i="1"/>
  <c r="E381" i="1"/>
  <c r="E333" i="1"/>
  <c r="E276" i="1"/>
  <c r="E880" i="1"/>
  <c r="E796" i="1"/>
  <c r="E775" i="1"/>
  <c r="E754" i="1"/>
  <c r="E354" i="1"/>
  <c r="E438" i="1"/>
  <c r="E255" i="1"/>
  <c r="E210" i="1"/>
  <c r="E188" i="1"/>
  <c r="E138" i="1"/>
  <c r="E232" i="1"/>
  <c r="E1082" i="1"/>
  <c r="E984" i="1"/>
  <c r="E718" i="1"/>
  <c r="E1004" i="1"/>
  <c r="E937" i="1"/>
  <c r="E735" i="1"/>
  <c r="E608" i="1"/>
  <c r="E587" i="1"/>
  <c r="E314" i="1"/>
  <c r="E647" i="1"/>
  <c r="E332" i="1"/>
  <c r="E275" i="1"/>
  <c r="E836" i="1"/>
  <c r="E682" i="1"/>
  <c r="E462" i="1"/>
  <c r="E297" i="1"/>
  <c r="E1043" i="1"/>
  <c r="E966" i="1"/>
  <c r="E922" i="1"/>
  <c r="E901" i="1"/>
  <c r="E702" i="1"/>
  <c r="E380" i="1"/>
  <c r="E879" i="1"/>
  <c r="E857" i="1"/>
  <c r="E525" i="1"/>
  <c r="E254" i="1"/>
  <c r="E504" i="1"/>
  <c r="E1064" i="1"/>
  <c r="E953" i="1"/>
  <c r="E795" i="1"/>
  <c r="E774" i="1"/>
  <c r="E753" i="1"/>
  <c r="E353" i="1"/>
  <c r="E567" i="1"/>
  <c r="E437" i="1"/>
  <c r="E817" i="1"/>
  <c r="E1024" i="1"/>
  <c r="E409" i="1"/>
  <c r="E665" i="1"/>
  <c r="E629" i="1"/>
  <c r="E483" i="1"/>
  <c r="F444" i="1"/>
  <c r="F442" i="1" s="1"/>
  <c r="E46" i="5" s="1"/>
  <c r="L444" i="1"/>
  <c r="L442" i="1" s="1"/>
  <c r="M442" i="1" s="1"/>
  <c r="E48" i="5" s="1"/>
  <c r="I444" i="1"/>
  <c r="I442" i="1" s="1"/>
  <c r="E586" i="1"/>
  <c r="E503" i="1"/>
  <c r="E482" i="1"/>
  <c r="E607" i="1"/>
  <c r="E545" i="1"/>
  <c r="E524" i="1"/>
  <c r="E461" i="1"/>
  <c r="E566" i="1"/>
  <c r="M172" i="1"/>
  <c r="M170" i="1" s="1"/>
  <c r="I172" i="1"/>
  <c r="I170" i="1" s="1"/>
  <c r="J170" i="1" s="1"/>
  <c r="E25" i="5" s="1"/>
  <c r="F172" i="1"/>
  <c r="F170" i="1" s="1"/>
  <c r="F12" i="5"/>
  <c r="E12" i="5"/>
  <c r="O64" i="1"/>
  <c r="E14" i="5" s="1"/>
  <c r="I64" i="1"/>
  <c r="K64" i="1" s="1"/>
  <c r="E13" i="5" s="1"/>
  <c r="N39" i="1"/>
  <c r="N38" i="1" s="1"/>
  <c r="N68" i="1"/>
  <c r="N67" i="1" s="1"/>
  <c r="O67" i="1" s="1"/>
  <c r="I67" i="1"/>
  <c r="K67" i="1" s="1"/>
  <c r="E9" i="1"/>
  <c r="E59" i="1"/>
  <c r="E62" i="1" s="1"/>
  <c r="E10" i="1"/>
  <c r="F10" i="1" s="1"/>
  <c r="E60" i="1"/>
  <c r="E37" i="1"/>
  <c r="N37" i="1" s="1"/>
  <c r="E34" i="1"/>
  <c r="N34" i="1" s="1"/>
  <c r="F39" i="1"/>
  <c r="F38" i="1" s="1"/>
  <c r="I38" i="1"/>
  <c r="N33" i="1"/>
  <c r="I33" i="1"/>
  <c r="F40" i="1"/>
  <c r="F33" i="1"/>
  <c r="F18" i="1"/>
  <c r="F8" i="5" s="1"/>
  <c r="F14" i="1"/>
  <c r="E8" i="5" s="1"/>
  <c r="F380" i="1" l="1"/>
  <c r="I380" i="1"/>
  <c r="E383" i="1"/>
  <c r="L380" i="1"/>
  <c r="F586" i="1"/>
  <c r="E589" i="1"/>
  <c r="F589" i="1" s="1"/>
  <c r="F1024" i="1"/>
  <c r="F1023" i="1" s="1"/>
  <c r="E1026" i="1"/>
  <c r="F1026" i="1" s="1"/>
  <c r="F1025" i="1" s="1"/>
  <c r="E955" i="1"/>
  <c r="F955" i="1" s="1"/>
  <c r="F954" i="1" s="1"/>
  <c r="F953" i="1"/>
  <c r="F952" i="1" s="1"/>
  <c r="F951" i="1" s="1"/>
  <c r="F702" i="1"/>
  <c r="F701" i="1" s="1"/>
  <c r="E704" i="1"/>
  <c r="F704" i="1" s="1"/>
  <c r="F703" i="1" s="1"/>
  <c r="E839" i="1"/>
  <c r="F839" i="1" s="1"/>
  <c r="F838" i="1" s="1"/>
  <c r="F834" i="1" s="1"/>
  <c r="F836" i="1"/>
  <c r="F835" i="1" s="1"/>
  <c r="E939" i="1"/>
  <c r="F939" i="1" s="1"/>
  <c r="F938" i="1" s="1"/>
  <c r="F937" i="1"/>
  <c r="F936" i="1" s="1"/>
  <c r="F935" i="1" s="1"/>
  <c r="E213" i="1"/>
  <c r="F213" i="1" s="1"/>
  <c r="F210" i="1"/>
  <c r="F276" i="1"/>
  <c r="E279" i="1"/>
  <c r="F279" i="1" s="1"/>
  <c r="E142" i="1"/>
  <c r="I139" i="1"/>
  <c r="M139" i="1"/>
  <c r="F139" i="1"/>
  <c r="F137" i="1" s="1"/>
  <c r="F837" i="1"/>
  <c r="E840" i="1"/>
  <c r="F840" i="1" s="1"/>
  <c r="E88" i="1"/>
  <c r="M85" i="1"/>
  <c r="M84" i="1" s="1"/>
  <c r="I85" i="1"/>
  <c r="F85" i="1"/>
  <c r="E15" i="5"/>
  <c r="N90" i="1"/>
  <c r="E17" i="5" s="1"/>
  <c r="F566" i="1"/>
  <c r="E569" i="1"/>
  <c r="I566" i="1"/>
  <c r="J442" i="1"/>
  <c r="E47" i="5" s="1"/>
  <c r="F817" i="1"/>
  <c r="F816" i="1" s="1"/>
  <c r="E819" i="1"/>
  <c r="F819" i="1" s="1"/>
  <c r="F818" i="1" s="1"/>
  <c r="E1066" i="1"/>
  <c r="F1064" i="1"/>
  <c r="F1063" i="1" s="1"/>
  <c r="I1064" i="1"/>
  <c r="I1063" i="1" s="1"/>
  <c r="F901" i="1"/>
  <c r="E904" i="1"/>
  <c r="F904" i="1" s="1"/>
  <c r="F275" i="1"/>
  <c r="F274" i="1" s="1"/>
  <c r="E278" i="1"/>
  <c r="F278" i="1" s="1"/>
  <c r="F1004" i="1"/>
  <c r="F1003" i="1" s="1"/>
  <c r="E1006" i="1"/>
  <c r="F1006" i="1" s="1"/>
  <c r="F1005" i="1" s="1"/>
  <c r="F255" i="1"/>
  <c r="E258" i="1"/>
  <c r="F258" i="1" s="1"/>
  <c r="E336" i="1"/>
  <c r="F336" i="1" s="1"/>
  <c r="F333" i="1"/>
  <c r="F736" i="1"/>
  <c r="E739" i="1"/>
  <c r="F739" i="1" s="1"/>
  <c r="E633" i="1"/>
  <c r="F633" i="1" s="1"/>
  <c r="F630" i="1"/>
  <c r="E114" i="1"/>
  <c r="M111" i="1"/>
  <c r="I111" i="1"/>
  <c r="F111" i="1"/>
  <c r="E21" i="5"/>
  <c r="N143" i="1"/>
  <c r="E23" i="5" s="1"/>
  <c r="F437" i="1"/>
  <c r="I437" i="1"/>
  <c r="I436" i="1" s="1"/>
  <c r="E440" i="1"/>
  <c r="L437" i="1"/>
  <c r="F504" i="1"/>
  <c r="E507" i="1"/>
  <c r="F507" i="1" s="1"/>
  <c r="F922" i="1"/>
  <c r="F921" i="1" s="1"/>
  <c r="F920" i="1" s="1"/>
  <c r="E924" i="1"/>
  <c r="F924" i="1" s="1"/>
  <c r="F923" i="1" s="1"/>
  <c r="F332" i="1"/>
  <c r="E335" i="1"/>
  <c r="F335" i="1" s="1"/>
  <c r="F334" i="1" s="1"/>
  <c r="E721" i="1"/>
  <c r="F721" i="1" s="1"/>
  <c r="F720" i="1" s="1"/>
  <c r="F718" i="1"/>
  <c r="L438" i="1"/>
  <c r="F438" i="1"/>
  <c r="F436" i="1" s="1"/>
  <c r="I438" i="1"/>
  <c r="E441" i="1"/>
  <c r="F381" i="1"/>
  <c r="I381" i="1"/>
  <c r="L381" i="1"/>
  <c r="E384" i="1"/>
  <c r="E669" i="1"/>
  <c r="F669" i="1" s="1"/>
  <c r="F666" i="1"/>
  <c r="E169" i="1"/>
  <c r="M166" i="1"/>
  <c r="I166" i="1"/>
  <c r="F166" i="1"/>
  <c r="F165" i="1"/>
  <c r="I165" i="1"/>
  <c r="E168" i="1"/>
  <c r="M165" i="1"/>
  <c r="F409" i="1"/>
  <c r="F408" i="1" s="1"/>
  <c r="I409" i="1"/>
  <c r="I408" i="1" s="1"/>
  <c r="E412" i="1"/>
  <c r="L409" i="1"/>
  <c r="L408" i="1" s="1"/>
  <c r="F254" i="1"/>
  <c r="F253" i="1" s="1"/>
  <c r="E257" i="1"/>
  <c r="F257" i="1" s="1"/>
  <c r="F256" i="1" s="1"/>
  <c r="E986" i="1"/>
  <c r="F986" i="1" s="1"/>
  <c r="F985" i="1" s="1"/>
  <c r="F984" i="1"/>
  <c r="F983" i="1" s="1"/>
  <c r="F982" i="1" s="1"/>
  <c r="F545" i="1"/>
  <c r="F544" i="1" s="1"/>
  <c r="E547" i="1"/>
  <c r="F547" i="1" s="1"/>
  <c r="F546" i="1" s="1"/>
  <c r="E486" i="1"/>
  <c r="F486" i="1" s="1"/>
  <c r="F483" i="1"/>
  <c r="F481" i="1" s="1"/>
  <c r="F353" i="1"/>
  <c r="E356" i="1"/>
  <c r="F356" i="1" s="1"/>
  <c r="F525" i="1"/>
  <c r="E528" i="1"/>
  <c r="F528" i="1" s="1"/>
  <c r="E1045" i="1"/>
  <c r="F1045" i="1" s="1"/>
  <c r="F1044" i="1" s="1"/>
  <c r="F1043" i="1"/>
  <c r="F1042" i="1" s="1"/>
  <c r="F1041" i="1" s="1"/>
  <c r="E317" i="1"/>
  <c r="F317" i="1" s="1"/>
  <c r="F314" i="1"/>
  <c r="F313" i="1" s="1"/>
  <c r="F1082" i="1"/>
  <c r="F1081" i="1" s="1"/>
  <c r="E1084" i="1"/>
  <c r="F1084" i="1" s="1"/>
  <c r="F1083" i="1" s="1"/>
  <c r="E757" i="1"/>
  <c r="F757" i="1" s="1"/>
  <c r="F754" i="1"/>
  <c r="F902" i="1"/>
  <c r="E905" i="1"/>
  <c r="F905" i="1" s="1"/>
  <c r="F315" i="1"/>
  <c r="E318" i="1"/>
  <c r="F318" i="1" s="1"/>
  <c r="F112" i="1"/>
  <c r="M112" i="1"/>
  <c r="E115" i="1"/>
  <c r="I112" i="1"/>
  <c r="E798" i="1"/>
  <c r="F798" i="1" s="1"/>
  <c r="F797" i="1" s="1"/>
  <c r="F795" i="1"/>
  <c r="F794" i="1" s="1"/>
  <c r="F793" i="1" s="1"/>
  <c r="F735" i="1"/>
  <c r="E738" i="1"/>
  <c r="F738" i="1" s="1"/>
  <c r="F737" i="1" s="1"/>
  <c r="F188" i="1"/>
  <c r="F187" i="1" s="1"/>
  <c r="E191" i="1"/>
  <c r="F191" i="1" s="1"/>
  <c r="F880" i="1"/>
  <c r="E883" i="1"/>
  <c r="F883" i="1" s="1"/>
  <c r="F648" i="1"/>
  <c r="E651" i="1"/>
  <c r="F651" i="1" s="1"/>
  <c r="F461" i="1"/>
  <c r="E464" i="1"/>
  <c r="F464" i="1" s="1"/>
  <c r="F463" i="1" s="1"/>
  <c r="F459" i="1" s="1"/>
  <c r="I567" i="1"/>
  <c r="E570" i="1"/>
  <c r="F567" i="1"/>
  <c r="F966" i="1"/>
  <c r="F965" i="1" s="1"/>
  <c r="E968" i="1"/>
  <c r="F968" i="1" s="1"/>
  <c r="F967" i="1" s="1"/>
  <c r="F964" i="1" s="1"/>
  <c r="F647" i="1"/>
  <c r="F646" i="1" s="1"/>
  <c r="E650" i="1"/>
  <c r="F650" i="1" s="1"/>
  <c r="E357" i="1"/>
  <c r="F357" i="1" s="1"/>
  <c r="F354" i="1"/>
  <c r="F352" i="1" s="1"/>
  <c r="F410" i="1"/>
  <c r="E413" i="1"/>
  <c r="I410" i="1"/>
  <c r="L410" i="1"/>
  <c r="E722" i="1"/>
  <c r="F722" i="1" s="1"/>
  <c r="F719" i="1"/>
  <c r="E89" i="1"/>
  <c r="I86" i="1"/>
  <c r="F86" i="1"/>
  <c r="M86" i="1"/>
  <c r="E610" i="1"/>
  <c r="F610" i="1" s="1"/>
  <c r="F607" i="1"/>
  <c r="F629" i="1"/>
  <c r="E632" i="1"/>
  <c r="F632" i="1" s="1"/>
  <c r="F631" i="1" s="1"/>
  <c r="F753" i="1"/>
  <c r="E756" i="1"/>
  <c r="F756" i="1" s="1"/>
  <c r="F755" i="1" s="1"/>
  <c r="F857" i="1"/>
  <c r="E860" i="1"/>
  <c r="F860" i="1" s="1"/>
  <c r="F297" i="1"/>
  <c r="E300" i="1"/>
  <c r="F300" i="1" s="1"/>
  <c r="F587" i="1"/>
  <c r="E590" i="1"/>
  <c r="F590" i="1" s="1"/>
  <c r="F232" i="1"/>
  <c r="F231" i="1" s="1"/>
  <c r="E235" i="1"/>
  <c r="F235" i="1" s="1"/>
  <c r="F234" i="1" s="1"/>
  <c r="F230" i="1" s="1"/>
  <c r="E778" i="1"/>
  <c r="F778" i="1" s="1"/>
  <c r="F775" i="1"/>
  <c r="F189" i="1"/>
  <c r="E192" i="1"/>
  <c r="F192" i="1" s="1"/>
  <c r="E301" i="1"/>
  <c r="F301" i="1" s="1"/>
  <c r="F298" i="1"/>
  <c r="F296" i="1" s="1"/>
  <c r="N116" i="1"/>
  <c r="E20" i="5" s="1"/>
  <c r="F503" i="1"/>
  <c r="F502" i="1" s="1"/>
  <c r="E506" i="1"/>
  <c r="F506" i="1" s="1"/>
  <c r="F505" i="1" s="1"/>
  <c r="E684" i="1"/>
  <c r="F684" i="1" s="1"/>
  <c r="F683" i="1" s="1"/>
  <c r="F682" i="1"/>
  <c r="F681" i="1" s="1"/>
  <c r="F233" i="1"/>
  <c r="E236" i="1"/>
  <c r="F236" i="1" s="1"/>
  <c r="F524" i="1"/>
  <c r="F523" i="1" s="1"/>
  <c r="E527" i="1"/>
  <c r="F527" i="1" s="1"/>
  <c r="F526" i="1" s="1"/>
  <c r="F522" i="1" s="1"/>
  <c r="N170" i="1"/>
  <c r="E26" i="5" s="1"/>
  <c r="E24" i="5"/>
  <c r="F482" i="1"/>
  <c r="E485" i="1"/>
  <c r="F485" i="1" s="1"/>
  <c r="F484" i="1" s="1"/>
  <c r="E668" i="1"/>
  <c r="F668" i="1" s="1"/>
  <c r="F667" i="1" s="1"/>
  <c r="F665" i="1"/>
  <c r="F664" i="1" s="1"/>
  <c r="F663" i="1" s="1"/>
  <c r="F774" i="1"/>
  <c r="E777" i="1"/>
  <c r="F777" i="1" s="1"/>
  <c r="F776" i="1" s="1"/>
  <c r="E882" i="1"/>
  <c r="F882" i="1" s="1"/>
  <c r="F881" i="1" s="1"/>
  <c r="F877" i="1" s="1"/>
  <c r="F879" i="1"/>
  <c r="F878" i="1" s="1"/>
  <c r="E465" i="1"/>
  <c r="F465" i="1" s="1"/>
  <c r="F462" i="1"/>
  <c r="F460" i="1" s="1"/>
  <c r="E611" i="1"/>
  <c r="F611" i="1" s="1"/>
  <c r="F608" i="1"/>
  <c r="F138" i="1"/>
  <c r="I138" i="1"/>
  <c r="I137" i="1" s="1"/>
  <c r="M138" i="1"/>
  <c r="M137" i="1" s="1"/>
  <c r="E141" i="1"/>
  <c r="E799" i="1"/>
  <c r="F799" i="1" s="1"/>
  <c r="F796" i="1"/>
  <c r="E214" i="1"/>
  <c r="F214" i="1" s="1"/>
  <c r="F211" i="1"/>
  <c r="F858" i="1"/>
  <c r="E861" i="1"/>
  <c r="F861" i="1" s="1"/>
  <c r="J116" i="1"/>
  <c r="E19" i="5" s="1"/>
  <c r="E43" i="5"/>
  <c r="M414" i="1"/>
  <c r="E45" i="5" s="1"/>
  <c r="E9" i="5"/>
  <c r="O38" i="1"/>
  <c r="E11" i="5" s="1"/>
  <c r="K38" i="1"/>
  <c r="E10" i="5" s="1"/>
  <c r="F37" i="1"/>
  <c r="F35" i="1" s="1"/>
  <c r="F9" i="1"/>
  <c r="F8" i="1" s="1"/>
  <c r="E12" i="1"/>
  <c r="F12" i="1" s="1"/>
  <c r="F11" i="1" s="1"/>
  <c r="I37" i="1"/>
  <c r="F59" i="1"/>
  <c r="N59" i="1"/>
  <c r="I59" i="1"/>
  <c r="N32" i="1"/>
  <c r="I34" i="1"/>
  <c r="I32" i="1" s="1"/>
  <c r="F34" i="1"/>
  <c r="F32" i="1" s="1"/>
  <c r="F60" i="1"/>
  <c r="E63" i="1"/>
  <c r="N60" i="1"/>
  <c r="I60" i="1"/>
  <c r="I36" i="1"/>
  <c r="N36" i="1"/>
  <c r="N35" i="1" s="1"/>
  <c r="M114" i="1" l="1"/>
  <c r="F114" i="1"/>
  <c r="I114" i="1"/>
  <c r="F521" i="1"/>
  <c r="F535" i="1" s="1"/>
  <c r="F536" i="1" s="1"/>
  <c r="D53" i="5"/>
  <c r="F164" i="1"/>
  <c r="F628" i="1"/>
  <c r="I1066" i="1"/>
  <c r="I1065" i="1" s="1"/>
  <c r="F1066" i="1"/>
  <c r="F1065" i="1" s="1"/>
  <c r="F1062" i="1" s="1"/>
  <c r="F1022" i="1"/>
  <c r="F627" i="1"/>
  <c r="F649" i="1"/>
  <c r="F645" i="1" s="1"/>
  <c r="F734" i="1"/>
  <c r="F733" i="1" s="1"/>
  <c r="F316" i="1"/>
  <c r="F312" i="1" s="1"/>
  <c r="L412" i="1"/>
  <c r="F412" i="1"/>
  <c r="I412" i="1"/>
  <c r="I411" i="1" s="1"/>
  <c r="I407" i="1" s="1"/>
  <c r="F1002" i="1"/>
  <c r="F815" i="1"/>
  <c r="F84" i="1"/>
  <c r="F83" i="1" s="1"/>
  <c r="F588" i="1"/>
  <c r="F584" i="1" s="1"/>
  <c r="L441" i="1"/>
  <c r="I441" i="1"/>
  <c r="F441" i="1"/>
  <c r="F277" i="1"/>
  <c r="F273" i="1" s="1"/>
  <c r="I84" i="1"/>
  <c r="I142" i="1"/>
  <c r="F142" i="1"/>
  <c r="M142" i="1"/>
  <c r="F833" i="1"/>
  <c r="F847" i="1" s="1"/>
  <c r="F848" i="1" s="1"/>
  <c r="D74" i="5"/>
  <c r="F585" i="1"/>
  <c r="F229" i="1"/>
  <c r="F243" i="1" s="1"/>
  <c r="F244" i="1" s="1"/>
  <c r="D30" i="5"/>
  <c r="F772" i="1"/>
  <c r="F1040" i="1"/>
  <c r="F1052" i="1" s="1"/>
  <c r="F1053" i="1" s="1"/>
  <c r="D88" i="5"/>
  <c r="F606" i="1"/>
  <c r="F543" i="1"/>
  <c r="F169" i="1"/>
  <c r="M169" i="1"/>
  <c r="I169" i="1"/>
  <c r="F480" i="1"/>
  <c r="F680" i="1"/>
  <c r="F609" i="1"/>
  <c r="F752" i="1"/>
  <c r="F751" i="1" s="1"/>
  <c r="F981" i="1"/>
  <c r="D85" i="5"/>
  <c r="M164" i="1"/>
  <c r="F110" i="1"/>
  <c r="F331" i="1"/>
  <c r="F330" i="1" s="1"/>
  <c r="F903" i="1"/>
  <c r="I565" i="1"/>
  <c r="F88" i="1"/>
  <c r="F87" i="1" s="1"/>
  <c r="M88" i="1"/>
  <c r="I88" i="1"/>
  <c r="F700" i="1"/>
  <c r="I383" i="1"/>
  <c r="I382" i="1" s="1"/>
  <c r="F383" i="1"/>
  <c r="L383" i="1"/>
  <c r="F934" i="1"/>
  <c r="F942" i="1" s="1"/>
  <c r="F943" i="1" s="1"/>
  <c r="D80" i="5"/>
  <c r="F458" i="1"/>
  <c r="F472" i="1" s="1"/>
  <c r="F473" i="1" s="1"/>
  <c r="D50" i="5"/>
  <c r="F662" i="1"/>
  <c r="F672" i="1" s="1"/>
  <c r="F673" i="1" s="1"/>
  <c r="D63" i="5"/>
  <c r="F963" i="1"/>
  <c r="F973" i="1" s="1"/>
  <c r="F974" i="1" s="1"/>
  <c r="D83" i="5"/>
  <c r="L379" i="1"/>
  <c r="F773" i="1"/>
  <c r="F859" i="1"/>
  <c r="F855" i="1" s="1"/>
  <c r="L413" i="1"/>
  <c r="I413" i="1"/>
  <c r="F413" i="1"/>
  <c r="M115" i="1"/>
  <c r="F115" i="1"/>
  <c r="I115" i="1"/>
  <c r="F168" i="1"/>
  <c r="I168" i="1"/>
  <c r="I167" i="1" s="1"/>
  <c r="M168" i="1"/>
  <c r="M167" i="1" s="1"/>
  <c r="M163" i="1" s="1"/>
  <c r="M162" i="1" s="1"/>
  <c r="M176" i="1" s="1"/>
  <c r="M177" i="1" s="1"/>
  <c r="I110" i="1"/>
  <c r="F900" i="1"/>
  <c r="I569" i="1"/>
  <c r="F569" i="1"/>
  <c r="F209" i="1"/>
  <c r="F208" i="1" s="1"/>
  <c r="F950" i="1"/>
  <c r="F956" i="1" s="1"/>
  <c r="F957" i="1" s="1"/>
  <c r="D82" i="5"/>
  <c r="I379" i="1"/>
  <c r="F876" i="1"/>
  <c r="F891" i="1" s="1"/>
  <c r="F892" i="1" s="1"/>
  <c r="D77" i="5"/>
  <c r="L440" i="1"/>
  <c r="I440" i="1"/>
  <c r="I439" i="1" s="1"/>
  <c r="I435" i="1" s="1"/>
  <c r="F440" i="1"/>
  <c r="F439" i="1" s="1"/>
  <c r="F435" i="1" s="1"/>
  <c r="F89" i="1"/>
  <c r="M89" i="1"/>
  <c r="I89" i="1"/>
  <c r="I87" i="1" s="1"/>
  <c r="F792" i="1"/>
  <c r="F806" i="1" s="1"/>
  <c r="F807" i="1" s="1"/>
  <c r="D71" i="5"/>
  <c r="F299" i="1"/>
  <c r="F295" i="1" s="1"/>
  <c r="F919" i="1"/>
  <c r="F927" i="1" s="1"/>
  <c r="F928" i="1" s="1"/>
  <c r="D79" i="5"/>
  <c r="F141" i="1"/>
  <c r="F140" i="1" s="1"/>
  <c r="F136" i="1" s="1"/>
  <c r="I141" i="1"/>
  <c r="M141" i="1"/>
  <c r="M140" i="1" s="1"/>
  <c r="M136" i="1" s="1"/>
  <c r="F501" i="1"/>
  <c r="F856" i="1"/>
  <c r="I570" i="1"/>
  <c r="F570" i="1"/>
  <c r="F190" i="1"/>
  <c r="F186" i="1" s="1"/>
  <c r="F1080" i="1"/>
  <c r="F355" i="1"/>
  <c r="F351" i="1" s="1"/>
  <c r="F252" i="1"/>
  <c r="I164" i="1"/>
  <c r="I384" i="1"/>
  <c r="L384" i="1"/>
  <c r="F384" i="1"/>
  <c r="F717" i="1"/>
  <c r="F716" i="1" s="1"/>
  <c r="L436" i="1"/>
  <c r="M110" i="1"/>
  <c r="I1062" i="1"/>
  <c r="F565" i="1"/>
  <c r="F212" i="1"/>
  <c r="F379" i="1"/>
  <c r="F7" i="1"/>
  <c r="F6" i="1" s="1"/>
  <c r="F21" i="1" s="1"/>
  <c r="F22" i="1" s="1"/>
  <c r="I35" i="1"/>
  <c r="I31" i="1" s="1"/>
  <c r="N58" i="1"/>
  <c r="N31" i="1"/>
  <c r="N30" i="1" s="1"/>
  <c r="N43" i="1" s="1"/>
  <c r="N44" i="1" s="1"/>
  <c r="F58" i="1"/>
  <c r="F62" i="1"/>
  <c r="N62" i="1"/>
  <c r="I62" i="1"/>
  <c r="F63" i="1"/>
  <c r="I63" i="1"/>
  <c r="N63" i="1"/>
  <c r="I58" i="1"/>
  <c r="F31" i="1"/>
  <c r="F750" i="1" l="1"/>
  <c r="F764" i="1" s="1"/>
  <c r="F765" i="1" s="1"/>
  <c r="D69" i="5"/>
  <c r="N136" i="1"/>
  <c r="D23" i="5" s="1"/>
  <c r="M135" i="1"/>
  <c r="M150" i="1" s="1"/>
  <c r="M151" i="1" s="1"/>
  <c r="F329" i="1"/>
  <c r="F343" i="1" s="1"/>
  <c r="F344" i="1" s="1"/>
  <c r="D37" i="5"/>
  <c r="F732" i="1"/>
  <c r="F742" i="1" s="1"/>
  <c r="F743" i="1" s="1"/>
  <c r="D67" i="5"/>
  <c r="I406" i="1"/>
  <c r="F1061" i="1"/>
  <c r="F1071" i="1" s="1"/>
  <c r="F1072" i="1" s="1"/>
  <c r="D89" i="5"/>
  <c r="I378" i="1"/>
  <c r="F583" i="1"/>
  <c r="F597" i="1" s="1"/>
  <c r="F598" i="1" s="1"/>
  <c r="D58" i="5"/>
  <c r="M109" i="1"/>
  <c r="M108" i="1" s="1"/>
  <c r="M123" i="1" s="1"/>
  <c r="M124" i="1" s="1"/>
  <c r="H82" i="5"/>
  <c r="J82" i="5" s="1"/>
  <c r="G82" i="5"/>
  <c r="I82" i="5" s="1"/>
  <c r="F854" i="1"/>
  <c r="F868" i="1" s="1"/>
  <c r="F869" i="1" s="1"/>
  <c r="D75" i="5"/>
  <c r="F699" i="1"/>
  <c r="F708" i="1" s="1"/>
  <c r="F709" i="1" s="1"/>
  <c r="D65" i="5"/>
  <c r="G30" i="5"/>
  <c r="I30" i="5" s="1"/>
  <c r="H30" i="5"/>
  <c r="J30" i="5" s="1"/>
  <c r="I83" i="1"/>
  <c r="F82" i="1"/>
  <c r="F96" i="1" s="1"/>
  <c r="D15" i="5"/>
  <c r="N83" i="1"/>
  <c r="D17" i="5" s="1"/>
  <c r="F644" i="1"/>
  <c r="F655" i="1" s="1"/>
  <c r="F656" i="1" s="1"/>
  <c r="D62" i="5"/>
  <c r="F1079" i="1"/>
  <c r="F1087" i="1" s="1"/>
  <c r="F1088" i="1" s="1"/>
  <c r="D91" i="5"/>
  <c r="D21" i="5"/>
  <c r="F135" i="1"/>
  <c r="F150" i="1" s="1"/>
  <c r="F167" i="1"/>
  <c r="F163" i="1" s="1"/>
  <c r="G85" i="5"/>
  <c r="I85" i="5" s="1"/>
  <c r="H85" i="5"/>
  <c r="J85" i="5" s="1"/>
  <c r="F272" i="1"/>
  <c r="F286" i="1" s="1"/>
  <c r="F287" i="1" s="1"/>
  <c r="D33" i="5"/>
  <c r="F814" i="1"/>
  <c r="F826" i="1" s="1"/>
  <c r="F827" i="1" s="1"/>
  <c r="D73" i="5"/>
  <c r="F626" i="1"/>
  <c r="F637" i="1" s="1"/>
  <c r="F638" i="1" s="1"/>
  <c r="D61" i="5"/>
  <c r="G53" i="5"/>
  <c r="I53" i="5" s="1"/>
  <c r="H53" i="5"/>
  <c r="J53" i="5" s="1"/>
  <c r="F994" i="1"/>
  <c r="F995" i="1"/>
  <c r="F1001" i="1"/>
  <c r="F1014" i="1" s="1"/>
  <c r="F1015" i="1" s="1"/>
  <c r="D86" i="5"/>
  <c r="F1021" i="1"/>
  <c r="F1033" i="1" s="1"/>
  <c r="F1034" i="1" s="1"/>
  <c r="D87" i="5"/>
  <c r="D90" i="5"/>
  <c r="I1061" i="1"/>
  <c r="I1071" i="1" s="1"/>
  <c r="I1072" i="1" s="1"/>
  <c r="F1073" i="1" s="1"/>
  <c r="H50" i="5"/>
  <c r="J50" i="5" s="1"/>
  <c r="G50" i="5"/>
  <c r="I50" i="5" s="1"/>
  <c r="I140" i="1"/>
  <c r="I136" i="1" s="1"/>
  <c r="F715" i="1"/>
  <c r="F725" i="1" s="1"/>
  <c r="F726" i="1" s="1"/>
  <c r="D66" i="5"/>
  <c r="G79" i="5"/>
  <c r="I79" i="5" s="1"/>
  <c r="H79" i="5"/>
  <c r="J79" i="5" s="1"/>
  <c r="M87" i="1"/>
  <c r="M83" i="1" s="1"/>
  <c r="M82" i="1" s="1"/>
  <c r="M96" i="1" s="1"/>
  <c r="M97" i="1" s="1"/>
  <c r="H83" i="5"/>
  <c r="J83" i="5" s="1"/>
  <c r="G83" i="5"/>
  <c r="I83" i="5" s="1"/>
  <c r="D8" i="5"/>
  <c r="G8" i="5" s="1"/>
  <c r="F294" i="1"/>
  <c r="F304" i="1" s="1"/>
  <c r="F305" i="1" s="1"/>
  <c r="D35" i="5"/>
  <c r="I568" i="1"/>
  <c r="I564" i="1"/>
  <c r="F605" i="1"/>
  <c r="L439" i="1"/>
  <c r="L435" i="1" s="1"/>
  <c r="F411" i="1"/>
  <c r="F407" i="1" s="1"/>
  <c r="J407" i="1" s="1"/>
  <c r="D44" i="5" s="1"/>
  <c r="F113" i="1"/>
  <c r="F109" i="1" s="1"/>
  <c r="F185" i="1"/>
  <c r="F199" i="1" s="1"/>
  <c r="F200" i="1" s="1"/>
  <c r="D27" i="5"/>
  <c r="F207" i="1"/>
  <c r="F222" i="1" s="1"/>
  <c r="F223" i="1" s="1"/>
  <c r="D29" i="5"/>
  <c r="I434" i="1"/>
  <c r="J435" i="1"/>
  <c r="D47" i="5" s="1"/>
  <c r="F542" i="1"/>
  <c r="F554" i="1" s="1"/>
  <c r="F555" i="1" s="1"/>
  <c r="D54" i="5"/>
  <c r="G74" i="5"/>
  <c r="I74" i="5" s="1"/>
  <c r="H74" i="5"/>
  <c r="J74" i="5" s="1"/>
  <c r="I113" i="1"/>
  <c r="I109" i="1" s="1"/>
  <c r="H71" i="5"/>
  <c r="J71" i="5" s="1"/>
  <c r="G71" i="5"/>
  <c r="I71" i="5" s="1"/>
  <c r="G77" i="5"/>
  <c r="I77" i="5" s="1"/>
  <c r="H77" i="5"/>
  <c r="J77" i="5" s="1"/>
  <c r="H63" i="5"/>
  <c r="J63" i="5" s="1"/>
  <c r="G63" i="5"/>
  <c r="I63" i="5" s="1"/>
  <c r="L382" i="1"/>
  <c r="L378" i="1" s="1"/>
  <c r="L377" i="1" s="1"/>
  <c r="L391" i="1" s="1"/>
  <c r="L392" i="1" s="1"/>
  <c r="F899" i="1"/>
  <c r="F679" i="1"/>
  <c r="F692" i="1" s="1"/>
  <c r="F693" i="1" s="1"/>
  <c r="D64" i="5"/>
  <c r="H88" i="5"/>
  <c r="J88" i="5" s="1"/>
  <c r="G88" i="5"/>
  <c r="I88" i="5" s="1"/>
  <c r="L411" i="1"/>
  <c r="L407" i="1" s="1"/>
  <c r="L406" i="1" s="1"/>
  <c r="L420" i="1" s="1"/>
  <c r="L421" i="1" s="1"/>
  <c r="M113" i="1"/>
  <c r="D32" i="5"/>
  <c r="F251" i="1"/>
  <c r="F265" i="1" s="1"/>
  <c r="F266" i="1" s="1"/>
  <c r="F771" i="1"/>
  <c r="F785" i="1" s="1"/>
  <c r="F786" i="1" s="1"/>
  <c r="D70" i="5"/>
  <c r="F350" i="1"/>
  <c r="F364" i="1" s="1"/>
  <c r="F365" i="1" s="1"/>
  <c r="D38" i="5"/>
  <c r="F434" i="1"/>
  <c r="D46" i="5"/>
  <c r="G80" i="5"/>
  <c r="I80" i="5" s="1"/>
  <c r="H80" i="5"/>
  <c r="J80" i="5" s="1"/>
  <c r="F568" i="1"/>
  <c r="F564" i="1" s="1"/>
  <c r="I163" i="1"/>
  <c r="F500" i="1"/>
  <c r="F514" i="1" s="1"/>
  <c r="F515" i="1" s="1"/>
  <c r="D52" i="5"/>
  <c r="F382" i="1"/>
  <c r="F378" i="1" s="1"/>
  <c r="F479" i="1"/>
  <c r="F493" i="1" s="1"/>
  <c r="F494" i="1" s="1"/>
  <c r="D51" i="5"/>
  <c r="F311" i="1"/>
  <c r="F322" i="1" s="1"/>
  <c r="F323" i="1" s="1"/>
  <c r="D36" i="5"/>
  <c r="D9" i="5"/>
  <c r="H9" i="5" s="1"/>
  <c r="J9" i="5" s="1"/>
  <c r="O31" i="1"/>
  <c r="D11" i="5" s="1"/>
  <c r="I30" i="1"/>
  <c r="I43" i="1" s="1"/>
  <c r="K31" i="1"/>
  <c r="D10" i="5" s="1"/>
  <c r="I8" i="5"/>
  <c r="H8" i="5"/>
  <c r="J8" i="5" s="1"/>
  <c r="F61" i="1"/>
  <c r="F57" i="1" s="1"/>
  <c r="I61" i="1"/>
  <c r="I57" i="1" s="1"/>
  <c r="N61" i="1"/>
  <c r="N57" i="1" s="1"/>
  <c r="N56" i="1" s="1"/>
  <c r="N70" i="1" s="1"/>
  <c r="N71" i="1" s="1"/>
  <c r="F30" i="1"/>
  <c r="F43" i="1" s="1"/>
  <c r="H44" i="5" l="1"/>
  <c r="J44" i="5" s="1"/>
  <c r="G44" i="5"/>
  <c r="I44" i="5" s="1"/>
  <c r="L434" i="1"/>
  <c r="M435" i="1"/>
  <c r="D48" i="5" s="1"/>
  <c r="G47" i="5"/>
  <c r="I47" i="5" s="1"/>
  <c r="H47" i="5"/>
  <c r="J47" i="5" s="1"/>
  <c r="G58" i="5"/>
  <c r="I58" i="5" s="1"/>
  <c r="H58" i="5"/>
  <c r="J58" i="5" s="1"/>
  <c r="H36" i="5"/>
  <c r="J36" i="5" s="1"/>
  <c r="G36" i="5"/>
  <c r="I36" i="5" s="1"/>
  <c r="F563" i="1"/>
  <c r="F573" i="1" s="1"/>
  <c r="F574" i="1" s="1"/>
  <c r="D55" i="5"/>
  <c r="H70" i="5"/>
  <c r="J70" i="5" s="1"/>
  <c r="G70" i="5"/>
  <c r="I70" i="5" s="1"/>
  <c r="H64" i="5"/>
  <c r="J64" i="5" s="1"/>
  <c r="G64" i="5"/>
  <c r="I64" i="5" s="1"/>
  <c r="I448" i="1"/>
  <c r="I449" i="1"/>
  <c r="F604" i="1"/>
  <c r="F618" i="1" s="1"/>
  <c r="F619" i="1" s="1"/>
  <c r="D59" i="5"/>
  <c r="G62" i="5"/>
  <c r="I62" i="5" s="1"/>
  <c r="H62" i="5"/>
  <c r="J62" i="5" s="1"/>
  <c r="H65" i="5"/>
  <c r="J65" i="5" s="1"/>
  <c r="G65" i="5"/>
  <c r="I65" i="5" s="1"/>
  <c r="H37" i="5"/>
  <c r="J37" i="5" s="1"/>
  <c r="G37" i="5"/>
  <c r="I37" i="5" s="1"/>
  <c r="I377" i="1"/>
  <c r="J378" i="1"/>
  <c r="D41" i="5" s="1"/>
  <c r="G67" i="5"/>
  <c r="I67" i="5" s="1"/>
  <c r="H67" i="5"/>
  <c r="J67" i="5" s="1"/>
  <c r="F898" i="1"/>
  <c r="D78" i="5"/>
  <c r="D24" i="5"/>
  <c r="F162" i="1"/>
  <c r="F176" i="1" s="1"/>
  <c r="N163" i="1"/>
  <c r="D26" i="5" s="1"/>
  <c r="H17" i="5"/>
  <c r="J17" i="5" s="1"/>
  <c r="G17" i="5"/>
  <c r="I17" i="5" s="1"/>
  <c r="G89" i="5"/>
  <c r="I89" i="5" s="1"/>
  <c r="H89" i="5"/>
  <c r="J89" i="5" s="1"/>
  <c r="H46" i="5"/>
  <c r="J46" i="5" s="1"/>
  <c r="G46" i="5"/>
  <c r="I46" i="5" s="1"/>
  <c r="G32" i="5"/>
  <c r="I32" i="5" s="1"/>
  <c r="H32" i="5"/>
  <c r="J32" i="5" s="1"/>
  <c r="G27" i="5"/>
  <c r="I27" i="5" s="1"/>
  <c r="H27" i="5"/>
  <c r="J27" i="5" s="1"/>
  <c r="G35" i="5"/>
  <c r="I35" i="5" s="1"/>
  <c r="H35" i="5"/>
  <c r="J35" i="5" s="1"/>
  <c r="G66" i="5"/>
  <c r="I66" i="5" s="1"/>
  <c r="H66" i="5"/>
  <c r="J66" i="5" s="1"/>
  <c r="F151" i="1"/>
  <c r="N150" i="1"/>
  <c r="G15" i="5"/>
  <c r="I15" i="5" s="1"/>
  <c r="H15" i="5"/>
  <c r="J15" i="5" s="1"/>
  <c r="H23" i="5"/>
  <c r="J23" i="5" s="1"/>
  <c r="G23" i="5"/>
  <c r="I23" i="5" s="1"/>
  <c r="H33" i="5"/>
  <c r="J33" i="5" s="1"/>
  <c r="G33" i="5"/>
  <c r="I33" i="5" s="1"/>
  <c r="I563" i="1"/>
  <c r="J564" i="1"/>
  <c r="D56" i="5" s="1"/>
  <c r="G90" i="5"/>
  <c r="H90" i="5"/>
  <c r="J90" i="5" s="1"/>
  <c r="I90" i="5"/>
  <c r="I108" i="1"/>
  <c r="I123" i="1" s="1"/>
  <c r="J109" i="1"/>
  <c r="D19" i="5" s="1"/>
  <c r="H61" i="5"/>
  <c r="J61" i="5" s="1"/>
  <c r="G61" i="5"/>
  <c r="I61" i="5" s="1"/>
  <c r="N151" i="1"/>
  <c r="F153" i="1" s="1"/>
  <c r="D40" i="5"/>
  <c r="M378" i="1"/>
  <c r="D42" i="5" s="1"/>
  <c r="F377" i="1"/>
  <c r="F448" i="1"/>
  <c r="F449" i="1"/>
  <c r="G86" i="5"/>
  <c r="I86" i="5" s="1"/>
  <c r="H86" i="5"/>
  <c r="J86" i="5" s="1"/>
  <c r="G73" i="5"/>
  <c r="I73" i="5" s="1"/>
  <c r="H73" i="5"/>
  <c r="J73" i="5" s="1"/>
  <c r="G21" i="5"/>
  <c r="I21" i="5" s="1"/>
  <c r="H21" i="5"/>
  <c r="J21" i="5" s="1"/>
  <c r="F97" i="1"/>
  <c r="N97" i="1" s="1"/>
  <c r="F99" i="1" s="1"/>
  <c r="N96" i="1"/>
  <c r="G69" i="5"/>
  <c r="I69" i="5" s="1"/>
  <c r="H69" i="5"/>
  <c r="J69" i="5" s="1"/>
  <c r="G38" i="5"/>
  <c r="I38" i="5" s="1"/>
  <c r="H38" i="5"/>
  <c r="J38" i="5" s="1"/>
  <c r="M407" i="1"/>
  <c r="D45" i="5" s="1"/>
  <c r="D43" i="5"/>
  <c r="F406" i="1"/>
  <c r="I162" i="1"/>
  <c r="I176" i="1" s="1"/>
  <c r="J163" i="1"/>
  <c r="D25" i="5" s="1"/>
  <c r="G29" i="5"/>
  <c r="I29" i="5" s="1"/>
  <c r="H29" i="5"/>
  <c r="J29" i="5" s="1"/>
  <c r="H51" i="5"/>
  <c r="J51" i="5" s="1"/>
  <c r="G51" i="5"/>
  <c r="I51" i="5" s="1"/>
  <c r="G87" i="5"/>
  <c r="I87" i="5" s="1"/>
  <c r="H87" i="5"/>
  <c r="J87" i="5" s="1"/>
  <c r="H75" i="5"/>
  <c r="J75" i="5" s="1"/>
  <c r="G75" i="5"/>
  <c r="I75" i="5" s="1"/>
  <c r="H52" i="5"/>
  <c r="J52" i="5" s="1"/>
  <c r="G52" i="5"/>
  <c r="I52" i="5" s="1"/>
  <c r="H54" i="5"/>
  <c r="J54" i="5" s="1"/>
  <c r="G54" i="5"/>
  <c r="I54" i="5" s="1"/>
  <c r="N109" i="1"/>
  <c r="D20" i="5" s="1"/>
  <c r="D18" i="5"/>
  <c r="F108" i="1"/>
  <c r="F123" i="1" s="1"/>
  <c r="I135" i="1"/>
  <c r="I150" i="1" s="1"/>
  <c r="J136" i="1"/>
  <c r="D22" i="5" s="1"/>
  <c r="G91" i="5"/>
  <c r="I91" i="5" s="1"/>
  <c r="H91" i="5"/>
  <c r="J91" i="5" s="1"/>
  <c r="I82" i="1"/>
  <c r="I96" i="1" s="1"/>
  <c r="J83" i="1"/>
  <c r="D16" i="5" s="1"/>
  <c r="I420" i="1"/>
  <c r="I421" i="1"/>
  <c r="G9" i="5"/>
  <c r="I9" i="5" s="1"/>
  <c r="H10" i="5"/>
  <c r="J10" i="5" s="1"/>
  <c r="G10" i="5"/>
  <c r="I10" i="5" s="1"/>
  <c r="I44" i="1"/>
  <c r="K43" i="1"/>
  <c r="F44" i="1"/>
  <c r="O44" i="1" s="1"/>
  <c r="F46" i="1" s="1"/>
  <c r="O43" i="1"/>
  <c r="H11" i="5"/>
  <c r="J11" i="5" s="1"/>
  <c r="G11" i="5"/>
  <c r="I11" i="5" s="1"/>
  <c r="I56" i="1"/>
  <c r="I70" i="1" s="1"/>
  <c r="K57" i="1"/>
  <c r="D13" i="5" s="1"/>
  <c r="D12" i="5"/>
  <c r="G12" i="5" s="1"/>
  <c r="D14" i="5"/>
  <c r="F56" i="1"/>
  <c r="H19" i="5" l="1"/>
  <c r="J19" i="5" s="1"/>
  <c r="G19" i="5"/>
  <c r="I19" i="5" s="1"/>
  <c r="G43" i="5"/>
  <c r="I43" i="5" s="1"/>
  <c r="H43" i="5"/>
  <c r="J43" i="5" s="1"/>
  <c r="I97" i="1"/>
  <c r="J97" i="1" s="1"/>
  <c r="F98" i="1" s="1"/>
  <c r="J96" i="1"/>
  <c r="H45" i="5"/>
  <c r="J45" i="5" s="1"/>
  <c r="G45" i="5"/>
  <c r="I45" i="5" s="1"/>
  <c r="H42" i="5"/>
  <c r="J42" i="5" s="1"/>
  <c r="G42" i="5"/>
  <c r="I42" i="5" s="1"/>
  <c r="F124" i="1"/>
  <c r="N124" i="1" s="1"/>
  <c r="F126" i="1" s="1"/>
  <c r="N123" i="1"/>
  <c r="H20" i="5"/>
  <c r="J20" i="5" s="1"/>
  <c r="G20" i="5"/>
  <c r="I20" i="5" s="1"/>
  <c r="F391" i="1"/>
  <c r="M391" i="1" s="1"/>
  <c r="F392" i="1"/>
  <c r="M392" i="1" s="1"/>
  <c r="F394" i="1" s="1"/>
  <c r="G40" i="5"/>
  <c r="I40" i="5" s="1"/>
  <c r="H40" i="5"/>
  <c r="J40" i="5" s="1"/>
  <c r="H41" i="5"/>
  <c r="J41" i="5" s="1"/>
  <c r="G41" i="5"/>
  <c r="I41" i="5" s="1"/>
  <c r="G59" i="5"/>
  <c r="I59" i="5" s="1"/>
  <c r="H59" i="5"/>
  <c r="J59" i="5" s="1"/>
  <c r="G55" i="5"/>
  <c r="I55" i="5" s="1"/>
  <c r="H55" i="5"/>
  <c r="J55" i="5" s="1"/>
  <c r="G48" i="5"/>
  <c r="I48" i="5" s="1"/>
  <c r="H48" i="5"/>
  <c r="J48" i="5" s="1"/>
  <c r="J176" i="1"/>
  <c r="I177" i="1"/>
  <c r="J177" i="1" s="1"/>
  <c r="F178" i="1" s="1"/>
  <c r="J420" i="1"/>
  <c r="I124" i="1"/>
  <c r="J124" i="1" s="1"/>
  <c r="F125" i="1" s="1"/>
  <c r="J123" i="1"/>
  <c r="G56" i="5"/>
  <c r="I56" i="5" s="1"/>
  <c r="H56" i="5"/>
  <c r="J56" i="5" s="1"/>
  <c r="G26" i="5"/>
  <c r="I26" i="5" s="1"/>
  <c r="H26" i="5"/>
  <c r="J26" i="5" s="1"/>
  <c r="I391" i="1"/>
  <c r="J391" i="1" s="1"/>
  <c r="I392" i="1"/>
  <c r="J392" i="1" s="1"/>
  <c r="F393" i="1" s="1"/>
  <c r="L448" i="1"/>
  <c r="L449" i="1" s="1"/>
  <c r="M449" i="1" s="1"/>
  <c r="F451" i="1" s="1"/>
  <c r="G18" i="5"/>
  <c r="I18" i="5" s="1"/>
  <c r="H18" i="5"/>
  <c r="J18" i="5" s="1"/>
  <c r="G22" i="5"/>
  <c r="I22" i="5" s="1"/>
  <c r="H22" i="5"/>
  <c r="J22" i="5" s="1"/>
  <c r="I573" i="1"/>
  <c r="J573" i="1" s="1"/>
  <c r="I574" i="1"/>
  <c r="J574" i="1" s="1"/>
  <c r="F575" i="1" s="1"/>
  <c r="F177" i="1"/>
  <c r="N177" i="1" s="1"/>
  <c r="F179" i="1" s="1"/>
  <c r="N176" i="1"/>
  <c r="J449" i="1"/>
  <c r="F450" i="1" s="1"/>
  <c r="H78" i="5"/>
  <c r="J78" i="5" s="1"/>
  <c r="G78" i="5"/>
  <c r="I78" i="5" s="1"/>
  <c r="F420" i="1"/>
  <c r="M420" i="1" s="1"/>
  <c r="F421" i="1"/>
  <c r="M421" i="1" s="1"/>
  <c r="F423" i="1" s="1"/>
  <c r="F912" i="1"/>
  <c r="F913" i="1" s="1"/>
  <c r="H16" i="5"/>
  <c r="J16" i="5" s="1"/>
  <c r="G16" i="5"/>
  <c r="I16" i="5" s="1"/>
  <c r="J150" i="1"/>
  <c r="I151" i="1"/>
  <c r="J151" i="1" s="1"/>
  <c r="F152" i="1" s="1"/>
  <c r="H25" i="5"/>
  <c r="J25" i="5" s="1"/>
  <c r="G25" i="5"/>
  <c r="I25" i="5" s="1"/>
  <c r="H24" i="5"/>
  <c r="J24" i="5" s="1"/>
  <c r="G24" i="5"/>
  <c r="I24" i="5" s="1"/>
  <c r="J448" i="1"/>
  <c r="K44" i="1"/>
  <c r="F45" i="1" s="1"/>
  <c r="G13" i="5"/>
  <c r="I13" i="5" s="1"/>
  <c r="H13" i="5"/>
  <c r="J13" i="5" s="1"/>
  <c r="I12" i="5"/>
  <c r="I71" i="1"/>
  <c r="H12" i="5"/>
  <c r="J12" i="5" s="1"/>
  <c r="G14" i="5"/>
  <c r="I14" i="5" s="1"/>
  <c r="H14" i="5"/>
  <c r="J14" i="5" s="1"/>
  <c r="F70" i="1"/>
  <c r="K70" i="1" s="1"/>
  <c r="M448" i="1" l="1"/>
  <c r="J421" i="1"/>
  <c r="F422" i="1" s="1"/>
  <c r="F71" i="1"/>
  <c r="K71" i="1" s="1"/>
  <c r="F72" i="1" s="1"/>
  <c r="O70" i="1"/>
  <c r="O71" i="1" l="1"/>
  <c r="F73" i="1" s="1"/>
</calcChain>
</file>

<file path=xl/sharedStrings.xml><?xml version="1.0" encoding="utf-8"?>
<sst xmlns="http://schemas.openxmlformats.org/spreadsheetml/2006/main" count="2351" uniqueCount="305">
  <si>
    <t>STT</t>
  </si>
  <si>
    <t>Thành phần hao phí</t>
  </si>
  <si>
    <t>Đơn vị</t>
  </si>
  <si>
    <t>Trị số định mức</t>
  </si>
  <si>
    <t>Chi phí trực tiếp</t>
  </si>
  <si>
    <t>lao động trực tiếp</t>
  </si>
  <si>
    <t>Máy tính để bàn</t>
  </si>
  <si>
    <t>Máy in</t>
  </si>
  <si>
    <t>Máy ghi âm</t>
  </si>
  <si>
    <t>GiấyA4</t>
  </si>
  <si>
    <t>Mực in</t>
  </si>
  <si>
    <t>Chi phí quản lý chung</t>
  </si>
  <si>
    <t>%</t>
  </si>
  <si>
    <t>công</t>
  </si>
  <si>
    <t>ca</t>
  </si>
  <si>
    <t>Gram</t>
  </si>
  <si>
    <t>Hộp</t>
  </si>
  <si>
    <t>Nghiên cứu viên hạng III bậc 4/9</t>
  </si>
  <si>
    <t>Nghiên cứu viên hạng III bậc 6/9</t>
  </si>
  <si>
    <t>lao động gián tiếp (tương đương 15%)</t>
  </si>
  <si>
    <t>Lương cơ sở</t>
  </si>
  <si>
    <t>Bậc lương</t>
  </si>
  <si>
    <t>Hệ số</t>
  </si>
  <si>
    <t>Lương cấp bậc</t>
  </si>
  <si>
    <t>Lương tháng</t>
  </si>
  <si>
    <t>Lương ngày (26 ngày)</t>
  </si>
  <si>
    <t>BHXH-YT-CĐ-TN (23.5%)</t>
  </si>
  <si>
    <t>Thành tiền (đồng)</t>
  </si>
  <si>
    <t>Máy móc, thiết bị</t>
  </si>
  <si>
    <t>Vật liệu</t>
  </si>
  <si>
    <t>Đơn giá</t>
  </si>
  <si>
    <t>Ghi chú</t>
  </si>
  <si>
    <t>Nguyên giá</t>
  </si>
  <si>
    <t>Số năm sử dụng</t>
  </si>
  <si>
    <t>Hao phí một ca máy</t>
  </si>
  <si>
    <t>Số ca máy sử dụng trong một năm</t>
  </si>
  <si>
    <t>Đơn giá (đồng)</t>
  </si>
  <si>
    <t>Mục VII phụ lục I, Quyết định số 50/2017/QĐ-TTg</t>
  </si>
  <si>
    <t>I</t>
  </si>
  <si>
    <t>II</t>
  </si>
  <si>
    <t>Căn cứ Thông tư số 45/2018/TT-BTC ngày 07 tháng 05 năm 2018 của Bộ Tài chính hướng dẫn chế độ quản lý, tính hao mòn, khấu hao tài sản cố định tại cơ quan, tổ chức, đơn vị và tài sản cố định do Nhà nước giao cho doanh nghiệp quản lý không tính thành phần vốn nhà nước tại doanh nghiệp</t>
  </si>
  <si>
    <t xml:space="preserve">Căn cứ Quyết định số 50/2017/QĐ-TTg ngày 31 tháng 12 năm 2017 Thủ tướng Chính phủ quy định tiêu chuẩn, định mức sử dụng máy móc, thiết bị. </t>
  </si>
  <si>
    <t>ĐƠN GIÁ NGÀY CÔNG</t>
  </si>
  <si>
    <t>HAO PHÍ MỘT CA MÁY</t>
  </si>
  <si>
    <t>NGUYÊN VẬT LIỆU SỬ DỤNG</t>
  </si>
  <si>
    <t>Đơn vị tính: 1 tin</t>
  </si>
  <si>
    <t>Hao phí nhân công</t>
  </si>
  <si>
    <t>Hao phí máy móc, thiết bị</t>
  </si>
  <si>
    <t>Hao phí nguyên vật liệu</t>
  </si>
  <si>
    <t>Tham khảo giá thị trường</t>
  </si>
  <si>
    <t>Đơn vị tính: 1 số</t>
  </si>
  <si>
    <t>+ Quy cách bản tin tiêu chuẩn tính định mức là 25 trang điện tử (Khổ giấy A4).</t>
  </si>
  <si>
    <t>+ Trường hợp tăng/giảm 01 trang, định mức nhân công và máy móc, thiết bị sử dụng được cộng/trừ với hệ số tăng/giảm là 0,5.</t>
  </si>
  <si>
    <t>Bìa màu</t>
  </si>
  <si>
    <t>Máy Scan</t>
  </si>
  <si>
    <t>Điện thoại để bàn</t>
  </si>
  <si>
    <t>Nhãn dán decal</t>
  </si>
  <si>
    <t>Tờ, cỡ A4</t>
  </si>
  <si>
    <t>Mực dấu</t>
  </si>
  <si>
    <t>Lọ</t>
  </si>
  <si>
    <t>Máy hút bụi</t>
  </si>
  <si>
    <t>Giẻ lau</t>
  </si>
  <si>
    <t>kg</t>
  </si>
  <si>
    <t>Thẻ bạn đọc</t>
  </si>
  <si>
    <t>Cái</t>
  </si>
  <si>
    <t>Thẻ mượn</t>
  </si>
  <si>
    <t>Phiếu mượn tài liệu khổ A6</t>
  </si>
  <si>
    <t>Tờ</t>
  </si>
  <si>
    <t>Tập 100 tờ cỡ A4</t>
  </si>
  <si>
    <t>Tăng 01 trang</t>
  </si>
  <si>
    <t>Giảm 01 trang</t>
  </si>
  <si>
    <t>Tên sản phẩm</t>
  </si>
  <si>
    <t>Đơn vị tính</t>
  </si>
  <si>
    <t>Nhân công</t>
  </si>
  <si>
    <t>Chi phí chung 15%</t>
  </si>
  <si>
    <t>Đơn giá sản phẩm</t>
  </si>
  <si>
    <t>Bao gồm khấu hao</t>
  </si>
  <si>
    <t>Không bao gồm khấu hao</t>
  </si>
  <si>
    <t>Biên soạn tin tức khoa học và công nghệ phát lên Cổng thông tin điện tử</t>
  </si>
  <si>
    <t>tin</t>
  </si>
  <si>
    <t>Biên soạn và xuất bản tin khoa học và công nghệ điện tử</t>
  </si>
  <si>
    <t>số</t>
  </si>
  <si>
    <t>Biên soạn và xuất bản tin khoa học và công nghệ giấy</t>
  </si>
  <si>
    <t>+ Quy cách bản tin tiêu chuẩn tính định mức là 25 trang (Khổ giấy A4).</t>
  </si>
  <si>
    <t>+ Trường hợp khổ giấy thực tế khác khổ giấy quy chuẩn, định mức được nhân hệ số k = (diện tích khổ giấy thực tế/diện tích khổ giấy tiêu chuẩn).</t>
  </si>
  <si>
    <t>Đơn giá sản phẩm = I + II</t>
  </si>
  <si>
    <t>XÂY DỰNG VÀ CẬP NHẬT CƠ SỞ DỮ LIỆU HỒ SƠ CÔNG NGHỆ, CHUYÊN GIA CÔNG NGHỆ</t>
  </si>
  <si>
    <t>Lao động trực tiếp</t>
  </si>
  <si>
    <t>Nghiên cứu viên hạng III bậc 3/9</t>
  </si>
  <si>
    <t>Công</t>
  </si>
  <si>
    <t>Nghiên cứu viên hạng III bậc 5/9</t>
  </si>
  <si>
    <t>Lao động gián tiếp (tương đương 15%)</t>
  </si>
  <si>
    <t>Ca</t>
  </si>
  <si>
    <t>Giấy A4</t>
  </si>
  <si>
    <t>Đơn vị tính: 1 hồ sơ công nghệ</t>
  </si>
  <si>
    <t>XÂY DỰNG VÀ VẬN HÀNH SÀN GIAO DỊCH CÔNG NGHỆ VÀ THIẾT BỊ</t>
  </si>
  <si>
    <t>Đơn vị tính: 1 công nghệ</t>
  </si>
  <si>
    <t>Đơn vị tính: 1 yêu cầu</t>
  </si>
  <si>
    <t>Đơn vị tính: 1 kết nối</t>
  </si>
  <si>
    <t>TỔ CHỨC TRIỂN LÃM, HỘI CHỢ KHOA HỌC, CÔNG NGHỆ VÀ THIẾT BỊ</t>
  </si>
  <si>
    <t>Đơn vị tính: 1 sự kiện</t>
  </si>
  <si>
    <t>XÂY DỰNG VÀ QUẢN TRỊ HẠ TẦNG THÔNG TIN KHOA HỌC VÀ CÔNG NGHỆ</t>
  </si>
  <si>
    <t>Đơn vị tính: 1 thiết bị định tuyến</t>
  </si>
  <si>
    <t>Kỹ sư hạng III bậc 2/9</t>
  </si>
  <si>
    <t>Kỹ sư hạng III bậc 3/9</t>
  </si>
  <si>
    <t>Đơn vị tính: 1 thiết bị chuyển mạch</t>
  </si>
  <si>
    <t>Đơn vị tính: 1 thiết bị an toàn an ninh</t>
  </si>
  <si>
    <t>Đơn vị tính: 1 máy chủ</t>
  </si>
  <si>
    <t>Lao động gián tiếp (tương đương 15 %)</t>
  </si>
  <si>
    <t>Đơn vị tính: 1 máy tính để bàn</t>
  </si>
  <si>
    <t>Đơn vị tính: 1 cuộc họp</t>
  </si>
  <si>
    <t>XÂY DỰNG VÀ VẬN HÀNH HỆ THỐNG THÔNG TIN KHOA HỌC VÀ CÔNG NGHỆ, CỔNG THÔNG TIN KHOA HỌC VÀ CÔNG NGHỆ</t>
  </si>
  <si>
    <t>Đơn vị tính: 1 hệ thống thông tin</t>
  </si>
  <si>
    <t>Đơn vị tính: 1 cổng thông tin</t>
  </si>
  <si>
    <t>XÂY DỰNG VÀ VẬN HÀNH CƠ SỞ DỮ LIỆU QUỐC GIA VỀ KHOA HỌC VÀ CÔNG NGHỆ</t>
  </si>
  <si>
    <t>Đơn vị tính: 1 biểu ghi</t>
  </si>
  <si>
    <t>Nhãn dán decal</t>
  </si>
  <si>
    <t>Máy scan</t>
  </si>
  <si>
    <t>Đơn vị tính: 1 cuộc điều tra</t>
  </si>
  <si>
    <t>Đơn vị tính: 1 báo cáo</t>
  </si>
  <si>
    <t>TRA CỨU VÀ CUNG CẤP THÔNG TIN KHOA HỌC VÀ CÔNG NGHỆ</t>
  </si>
  <si>
    <t>Đơn vị tính: 1 phiếu trả lời</t>
  </si>
  <si>
    <t>Thư viện viên hạng III bậc 3/9</t>
  </si>
  <si>
    <t>Thư viện viên hạng III bậc 6/9</t>
  </si>
  <si>
    <t>XỬ LÝ THÔNG TIN, CẬP NHẬT MỤC LỤC TÀI LIỆU KHOA HỌC VÀ CÔNG NGHỆ</t>
  </si>
  <si>
    <t>Đơn vị tính: 1 hợp đồng mua tài liệu</t>
  </si>
  <si>
    <t>Thư viện viên hạng III bậc 5/9</t>
  </si>
  <si>
    <t>Đơn vị tính: 1 tài liệu</t>
  </si>
  <si>
    <t>LƯU GIỮ, BẢO QUẢN TÀI LIỆU KHOA HỌC VÀ CÔNG NGHỆ</t>
  </si>
  <si>
    <t>Đơn vị tính: 100 tài liệu</t>
  </si>
  <si>
    <t>Trị số mức</t>
  </si>
  <si>
    <t>Kg</t>
  </si>
  <si>
    <t>PHỤC VỤ BẠN ĐỌC TẠI CHỖ VÀ TRỰC TUYẾN</t>
  </si>
  <si>
    <t>Đơn vị tính: 1 bạn đọc</t>
  </si>
  <si>
    <t>Đơn vị tính: 1 năm</t>
  </si>
  <si>
    <t>-</t>
  </si>
  <si>
    <t>Xây dựng, cập nhật cơ sở dữ liệu hồ sơ công nghệ</t>
  </si>
  <si>
    <t>Xây dựng, cập nhật cơ sở dữ liệu chuyên gia công nghệ</t>
  </si>
  <si>
    <t>Xử lý và cập nhật thông tin công nghệ và thiết bị chào bán lên Sàn giao dịch công nghệ và thiết bị trực tuyến</t>
  </si>
  <si>
    <t>Xử lý và cập nhật thông tin công nghệ và thiết bị tìm mua lên Sàn giao dịch công nghệ và thiết bị trực tuyến</t>
  </si>
  <si>
    <t>Quản trị nội dung sàn giao dịch công nghệ và thiết bị trực tuyến</t>
  </si>
  <si>
    <t>1.1</t>
  </si>
  <si>
    <t>1.2</t>
  </si>
  <si>
    <t>Tăng 25 gian</t>
  </si>
  <si>
    <t>Giảm 25 gian</t>
  </si>
  <si>
    <t>Đơn vị tính: 1 sự kiện (50 gian)</t>
  </si>
  <si>
    <t>Tăng 25 poster</t>
  </si>
  <si>
    <t>Giảm 25 poster</t>
  </si>
  <si>
    <t>Trị số định mức x 1,05</t>
  </si>
  <si>
    <t>Trị số định mức x 0,95</t>
  </si>
  <si>
    <t>Tăng 50 gian hàng</t>
  </si>
  <si>
    <t>Giảm 50 gian hàng</t>
  </si>
  <si>
    <t>Trị số định mức x 1,1</t>
  </si>
  <si>
    <t>Trị số định mức x 0,9</t>
  </si>
  <si>
    <t>Tăng 01 giờ</t>
  </si>
  <si>
    <t>Xây dựng cơ sở dữ liệu nhiệm vụ đang tiến hành</t>
  </si>
  <si>
    <t>Xây dựng cơ sở dữ liệu kết quả nhiệm vụ khoa học và công nghệ</t>
  </si>
  <si>
    <t>Xây dựng cơ sở dữ liệu ứng dụng kết quả nhiệm vụ khoa học và công nghệ</t>
  </si>
  <si>
    <t>Xử lý thông tin nhiệm vụ khoa học và công nghệ nộp trực tiếp tại đơn vị</t>
  </si>
  <si>
    <t>Xây dựng và cập nhật cơ sở dữ liệu công bố khoa học và công nghệ Việt Nam</t>
  </si>
  <si>
    <t>Xây dựng và cập nhật cơ sở dữ liệu tổ chức khoa học và công nghệ</t>
  </si>
  <si>
    <t>Xây dựng và cập nhật cơ sở dữ liệu cán bộ khoa học và công nghệ</t>
  </si>
  <si>
    <t>Điều tra thống kê khoa học và công nghệ</t>
  </si>
  <si>
    <t>Báo cáo thống kê cấp quốc gia về khoa học và công nghệ</t>
  </si>
  <si>
    <t>Báo cáo hoạt động nghiên cứu phát triển và đổi mới sáng tạo trong doanh nghiệp</t>
  </si>
  <si>
    <t>Tra cứu thông tin về nhiệm vụ khoa học và công nghệ</t>
  </si>
  <si>
    <t>Tổ chức hoạt động giao dịch công nghệ và thiết bị trực tiếp</t>
  </si>
  <si>
    <t>Tổ chức triển lãm thành tựu khoa học và công nghệ</t>
  </si>
  <si>
    <t>Tổ chức triển lãm hình ảnh thành tựu khoa học và công nghệ</t>
  </si>
  <si>
    <t>Tổ chức hội chợ công nghệ và thiết bị (Techmart)</t>
  </si>
  <si>
    <t>Quản trị thiết bị định tuyến</t>
  </si>
  <si>
    <t>Quản trị thiết bị chuyển mạch</t>
  </si>
  <si>
    <t>Quản trị thiết bị an toàn an ninh</t>
  </si>
  <si>
    <t>Quản trị máy chủ</t>
  </si>
  <si>
    <t>Quản trị các thiết bị công nghệ thông tin</t>
  </si>
  <si>
    <t>Tổ chức phục vụ kỹ thuật họp trực tuyến</t>
  </si>
  <si>
    <t>Xây dựng và vận hành hệ thống thông tin khoa học và công nghệ</t>
  </si>
  <si>
    <t>Vận hành và phát triển Cổng thông tin khoa học và công nghệ</t>
  </si>
  <si>
    <t>Tra cứu tài liệu điện tử</t>
  </si>
  <si>
    <t>Tra cứu thông tin về nhiệm vụ khoa học và công nghệ có nội dung thuộc danh mục bí mật nhà nước</t>
  </si>
  <si>
    <t>Bổ sung nguồn tin khoa học và công nghệ (tài liệu giấy)</t>
  </si>
  <si>
    <t>Bổ sung nguồn tin khoa học và công nghệ (tài liệu điện tử)</t>
  </si>
  <si>
    <t>Biên mục nguồn tin khoa học và công nghệ và cập nhật phân hệ biên mục tài liệu giấy</t>
  </si>
  <si>
    <t>Biên mục nguồn tin khoa học và công nghệ và cập nhật phân hệ biên mục tài liệu điện tử</t>
  </si>
  <si>
    <t>Tiếp nhận, phân loại và xếp giá tài liệu khoa học công nghệ</t>
  </si>
  <si>
    <t>Lưu giữ và bảo quản tài liệu khoa học và công nghệ</t>
  </si>
  <si>
    <t>Cấp thẻ bạn đọc tại chỗ</t>
  </si>
  <si>
    <t>Cấp thẻ mượn về</t>
  </si>
  <si>
    <t>Cấp tài khoản bạn đọc từ xa</t>
  </si>
  <si>
    <t>Gia hạn tài khoản bạn đọc từ xa</t>
  </si>
  <si>
    <t>Phục vụ bạn đọc tại chỗ</t>
  </si>
  <si>
    <t>Trị số định mức + 0,125</t>
  </si>
  <si>
    <t>100 tài liệu</t>
  </si>
  <si>
    <t>1 bạn đọc</t>
  </si>
  <si>
    <t>1 năm</t>
  </si>
  <si>
    <t>Phục vụ bạn đọc từ xa</t>
  </si>
  <si>
    <t>III</t>
  </si>
  <si>
    <t>IV</t>
  </si>
  <si>
    <t>V</t>
  </si>
  <si>
    <t>VI</t>
  </si>
  <si>
    <t>VII</t>
  </si>
  <si>
    <t>VIII</t>
  </si>
  <si>
    <t>IX</t>
  </si>
  <si>
    <t>X</t>
  </si>
  <si>
    <t>XI</t>
  </si>
  <si>
    <t>XII</t>
  </si>
  <si>
    <t>XIII</t>
  </si>
  <si>
    <t>01 Hệ thống thông tin</t>
  </si>
  <si>
    <t>01 Cổng thông tin</t>
  </si>
  <si>
    <t>01 Hồ sơ công  nghệ</t>
  </si>
  <si>
    <t>01 Hồ sơ chuyên gia</t>
  </si>
  <si>
    <t>01 Công nghệ</t>
  </si>
  <si>
    <t>01 Yêu cầu</t>
  </si>
  <si>
    <t>01 Kết nối</t>
  </si>
  <si>
    <t>01 Sự kiện (50 gian hàng)</t>
  </si>
  <si>
    <t>01 Sự kiện (100 poster)</t>
  </si>
  <si>
    <t>01 Sự kiện (250 gian hàng)</t>
  </si>
  <si>
    <t>01 Thiết bị định tuyến</t>
  </si>
  <si>
    <t>01 Thiết bị chuyển mạch</t>
  </si>
  <si>
    <t>01 Thiết bị an toàn an ninh</t>
  </si>
  <si>
    <t>01 Máy chủ</t>
  </si>
  <si>
    <t>01 Máy tính để bàn</t>
  </si>
  <si>
    <t>01 Cuộc họp (04 giờ)</t>
  </si>
  <si>
    <t>01 Biểu ghi</t>
  </si>
  <si>
    <t>01 Cuộc điều tra</t>
  </si>
  <si>
    <t>01 Báo cáo</t>
  </si>
  <si>
    <t>01 Phiếu trả lời</t>
  </si>
  <si>
    <t>01 Hợp đồng mua tài liệu</t>
  </si>
  <si>
    <t>01 Tài liệu</t>
  </si>
  <si>
    <t>BIÊN SOẠN VÀ XUẤT BẢN CÁC ẤN PHẨM THÔNG TIN KHOA HỌC VÀ CÔNG NGHỆ</t>
  </si>
  <si>
    <t>Đơn vị tính: 1 hồ sơ chuyên gia</t>
  </si>
  <si>
    <t>+ Quy mô sự kiện tiêu chuẩn tính định mức là 50 gian hàng.</t>
  </si>
  <si>
    <t>+ Trường hợp tăng/giảm 25 gian hàng, định mức (Vật liệu, nhân công, máy móc, thiết bị sử dụng) được nhân với hệ số tăng/giảm là 1,05/ 0,95.</t>
  </si>
  <si>
    <t>+ Trường hợp số gian hàng tăng giảm với bước nhảy khác 25, định mức (Vật liệu, nhân công, máy móc, thiết bị sử dụng) được nhân với hệ số tăng/giảm theo công thức nội suy 2 chiều sau:</t>
  </si>
  <si>
    <t>+ Quy mô sự kiện tiêu chuẩn tính định mức là 100 poster.</t>
  </si>
  <si>
    <t>+ Trường hợp tăng/giảm 25 poster, định mức (Vật liệu, nhân công, máy móc, thiết bị sử dụng) được nhân với hệ số tăng/ giảm là 1,05/0,95.</t>
  </si>
  <si>
    <t>+ Trường hợp số poster tăng/giảm với bước nhảy khác 25, định mức (Vật liệu, nhân công, máy móc, thiết bị sử dụng) được nhân với hệ số tăng/giảm theo công thức nội suy 2 chiều sau:</t>
  </si>
  <si>
    <t>+ Trường hợp tăng/giảm 50 gian hàng, định mức (vật liệu, nhân công, máy móc, thiết bị sử dụng) được nhân với hệ số tăng/giảm là 1,1/ 0,9.</t>
  </si>
  <si>
    <t>+ Trường hợp số gian hàng tăng/giảm với bước nhảy khác 50, định mức (Vật liệu, nhân công, máy móc, thiết bị sử dụng) được nhân với hệ số tăng/giảm theo công thức nội suy 2 chiều sau:</t>
  </si>
  <si>
    <t>+ Quy mô sự kiện tiêu chuẩn tính định mức là 250 gian hàng.</t>
  </si>
  <si>
    <t>+ Thời gian cuộc họp tiêu chuẩn tính định mức: 04 giờ.</t>
  </si>
  <si>
    <t>+ Trường hợp thời gian cuộc họp tăng thêm 01 giờ, định mức nhân công và máy móc, thiết bị sử dụng được cộng với hệ số 0,125.</t>
  </si>
  <si>
    <t>+ Số lượng bạn đọc tiêu chuẩn tính định mức ≤ 4.500 bạn đọc/năm.</t>
  </si>
  <si>
    <t>+ Trường hợp số lượng bạn đọc/năm &gt; 4.500, thêm 1 bạn đọc, hao phí (Vật liệu, nhân công và máy móc, thiết bị sử dụng) được cộng thêm như bảng sau:</t>
  </si>
  <si>
    <t>Tăng thêm 01 bạn đọc</t>
  </si>
  <si>
    <t>Biên soạn và xuất bản Sách Khoa học và công nghệ thế giới</t>
  </si>
  <si>
    <t>Đơn vị tính: 1 cuốn</t>
  </si>
  <si>
    <t>1 cuốn</t>
  </si>
  <si>
    <t>2.1</t>
  </si>
  <si>
    <t>2.2</t>
  </si>
  <si>
    <t>3.1</t>
  </si>
  <si>
    <t>3.2</t>
  </si>
  <si>
    <t>3.3</t>
  </si>
  <si>
    <t>Tập (100 tờ cỡ A4)</t>
  </si>
  <si>
    <t>Biên soạn và xuất bản Tạp chí/ Đặc san Thông tin và Tư liệu</t>
  </si>
  <si>
    <t>Biên tập viên hạng III bậc 3/9</t>
  </si>
  <si>
    <t>Biên tập viên hạng III bậc 5/9</t>
  </si>
  <si>
    <t>Phong bì A4</t>
  </si>
  <si>
    <t>Biên soạn và xuất bản Tổng luận chuyên đề khoa học, công nghệ, kinh tế</t>
  </si>
  <si>
    <t>Cấp mã số ISSN cho xuất bản phẩm nhiều kỳ</t>
  </si>
  <si>
    <t>+ Trường hợp tăng/giảm 01 trang, định mức nhân công và máy móc, thiết bị sử dụng được cộng/trừ với hệ số tăng/giảm là 0,15.</t>
  </si>
  <si>
    <t>+ Quy cách cuốn sách tiêu chuẩn tính định mức là 200 trang (Khổ giấy 16 cm x 24 cm).</t>
  </si>
  <si>
    <t>+ Trường hợp khổ sách thực tế khác khổ sách tiêu chuẩn, định mức được nhân hệ số k = (diện tích khổ sách thực tế/diện tích khổ sách tiêu chuẩn).</t>
  </si>
  <si>
    <t>+ Quy cách cuốn sách tiêu chuẩn tính định mức là 250 trang (Khổ giấy 16 cm x 24 cm).</t>
  </si>
  <si>
    <t>+ Trường hợp khổ sách thực tế khác khổ sách tiêu chuẩn, định mức được nhân hệ số k = (diện tích khổ sách thực tế/diện tích khổ sách tiêu chuẩn).</t>
  </si>
  <si>
    <t>+ Quy cách cuốn tạp chí tiêu chuẩn tính định mức là 52 trang (Khổ giấy A4).</t>
  </si>
  <si>
    <t>+ Trường hợp tăng/giảm 01 trang thì định mức nhân công và máy móc, thiết bị sử dụng được cộng/trừ với hệ số tăng/giảm là 0,5.</t>
  </si>
  <si>
    <t>+ Trường hợp khổ tạp chí thực tế khác với khổ tiêu chuẩn, định mức được nhân hệ số k = (diện tích khổ tạp chí thực tế/diện tích khổ tạp chí tiêu chuẩn).</t>
  </si>
  <si>
    <t>+ Quy cách cuốn tổng luận tiêu chuẩn tính định mức là 40 trang (Khổ giấy A4).</t>
  </si>
  <si>
    <t>+ Trường hợp khổ sách thực tế khác khổ sách tiêu chuẩn tính, định mức được nhân hệ số k = (diện tích khổ sách thực tế/diện tích khổ sách tiêu chuẩn).</t>
  </si>
  <si>
    <t>Biên soạn và xuất bản Sách Khoa học, công nghệ và đổi mới sáng tạo Việt Nam</t>
  </si>
  <si>
    <t>THÔNG TIN PHỔ BIẾN KIẾN THỨC VỀ KHOA HỌC VÀ CÔNG NGHỆ</t>
  </si>
  <si>
    <t>Phát triển trang thông tin điện tử Tạp chí khoa học Việt Nam trực tuyến (VJOL)</t>
  </si>
  <si>
    <t>Đơn vị tính: 1 tạp chí</t>
  </si>
  <si>
    <t>Duy trì trang thông tin điện tử Tạp chí khoa học Việt Nam trực tuyến (VJOL)</t>
  </si>
  <si>
    <t>Đơn vị tính: 1 biểu ghi (1 bài báo)</t>
  </si>
  <si>
    <t>DỊCH VỤ THỐNG KÊ KHOA HỌC VÀ CÔNG NGHỆ</t>
  </si>
  <si>
    <t>Tăng thêm 01 bạn đọc so với định mức, đơn giá sản phẩm cộng thêm</t>
  </si>
  <si>
    <t>cuốn</t>
  </si>
  <si>
    <t>Biên soạn và xuất bản tin khoa học và công nghệ điện tử (Quy cách bản tin tiêu chuẩn tính định mức là 25 trang điện tử (Khổ giấy A4))</t>
  </si>
  <si>
    <t>trang</t>
  </si>
  <si>
    <t>Tăng thêm 01 trang so với quy cách tiêu chuẩn đơn giá sản phẩm cộng thêm</t>
  </si>
  <si>
    <t>Giảm 01 trang so với quy cách tiêu chuẩn đơn giá sản phẩm giảm bớt</t>
  </si>
  <si>
    <t>Số</t>
  </si>
  <si>
    <t>Đơn vị tính: 1 mã số ISSN</t>
  </si>
  <si>
    <t>mã số ISSN</t>
  </si>
  <si>
    <t>tạp chí</t>
  </si>
  <si>
    <t>biểu ghi (1 bài báo)</t>
  </si>
  <si>
    <t>Tăng 25 gian hàng so với định mức đơn giá sản phẩm cộng thêm</t>
  </si>
  <si>
    <t>Giảm 25 gian hàng so với định mức đơn giá sản phẩm giảm bớt</t>
  </si>
  <si>
    <t>gian hàng</t>
  </si>
  <si>
    <t>Tăng 25 poster so với định mức đơn giá sản phậm cộng thêm</t>
  </si>
  <si>
    <t>Giảm 25 poster so với định mứcđơn giá sản phẩm giảm bớt</t>
  </si>
  <si>
    <t>poster</t>
  </si>
  <si>
    <t>Tăng 50 gian hàng so với định mức đơn giá sản phẩm công thêm</t>
  </si>
  <si>
    <t>Giảm 50 gian hàng so với định mức đơn giá sản phẩm giảm bớt</t>
  </si>
  <si>
    <t>Tăng 1 giờ so với định mức thì đơn giá sản phẩm công thêm</t>
  </si>
  <si>
    <t>giờ</t>
  </si>
  <si>
    <t>bạn đọc</t>
  </si>
  <si>
    <r>
      <t>A = a</t>
    </r>
    <r>
      <rPr>
        <vertAlign val="subscript"/>
        <sz val="14"/>
        <rFont val="Times New Roman"/>
        <family val="1"/>
      </rPr>
      <t>1</t>
    </r>
    <r>
      <rPr>
        <sz val="14"/>
        <rFont val="Times New Roman"/>
        <family val="1"/>
      </rPr>
      <t xml:space="preserve"> + (a</t>
    </r>
    <r>
      <rPr>
        <vertAlign val="subscript"/>
        <sz val="14"/>
        <rFont val="Times New Roman"/>
        <family val="1"/>
      </rPr>
      <t>2</t>
    </r>
    <r>
      <rPr>
        <sz val="14"/>
        <rFont val="Times New Roman"/>
        <family val="1"/>
      </rPr>
      <t>- a</t>
    </r>
    <r>
      <rPr>
        <vertAlign val="subscript"/>
        <sz val="14"/>
        <rFont val="Times New Roman"/>
        <family val="1"/>
      </rPr>
      <t>1</t>
    </r>
    <r>
      <rPr>
        <sz val="14"/>
        <rFont val="Times New Roman"/>
        <family val="1"/>
      </rPr>
      <t>) x (B - b</t>
    </r>
    <r>
      <rPr>
        <vertAlign val="subscript"/>
        <sz val="14"/>
        <rFont val="Times New Roman"/>
        <family val="1"/>
      </rPr>
      <t>1</t>
    </r>
    <r>
      <rPr>
        <sz val="14"/>
        <rFont val="Times New Roman"/>
        <family val="1"/>
      </rPr>
      <t>): (b</t>
    </r>
    <r>
      <rPr>
        <vertAlign val="subscript"/>
        <sz val="14"/>
        <rFont val="Times New Roman"/>
        <family val="1"/>
      </rPr>
      <t>2</t>
    </r>
    <r>
      <rPr>
        <sz val="14"/>
        <rFont val="Times New Roman"/>
        <family val="1"/>
      </rPr>
      <t>-b</t>
    </r>
    <r>
      <rPr>
        <vertAlign val="subscript"/>
        <sz val="14"/>
        <rFont val="Times New Roman"/>
        <family val="1"/>
      </rPr>
      <t>1</t>
    </r>
    <r>
      <rPr>
        <sz val="14"/>
        <rFont val="Times New Roman"/>
        <family val="1"/>
      </rPr>
      <t>)</t>
    </r>
  </si>
  <si>
    <r>
      <t>A = a</t>
    </r>
    <r>
      <rPr>
        <vertAlign val="subscript"/>
        <sz val="14"/>
        <rFont val="Times New Roman"/>
        <family val="1"/>
      </rPr>
      <t>1</t>
    </r>
    <r>
      <rPr>
        <sz val="14"/>
        <rFont val="Times New Roman"/>
        <family val="1"/>
      </rPr>
      <t xml:space="preserve"> + (a</t>
    </r>
    <r>
      <rPr>
        <vertAlign val="subscript"/>
        <sz val="14"/>
        <rFont val="Times New Roman"/>
        <family val="1"/>
      </rPr>
      <t>2</t>
    </r>
    <r>
      <rPr>
        <sz val="14"/>
        <rFont val="Times New Roman"/>
        <family val="1"/>
      </rPr>
      <t xml:space="preserve"> - a</t>
    </r>
    <r>
      <rPr>
        <vertAlign val="subscript"/>
        <sz val="14"/>
        <rFont val="Times New Roman"/>
        <family val="1"/>
      </rPr>
      <t>1</t>
    </r>
    <r>
      <rPr>
        <sz val="14"/>
        <rFont val="Times New Roman"/>
        <family val="1"/>
      </rPr>
      <t>) x (B - b</t>
    </r>
    <r>
      <rPr>
        <vertAlign val="subscript"/>
        <sz val="14"/>
        <rFont val="Times New Roman"/>
        <family val="1"/>
      </rPr>
      <t>1</t>
    </r>
    <r>
      <rPr>
        <sz val="14"/>
        <rFont val="Times New Roman"/>
        <family val="1"/>
      </rPr>
      <t>) : (b</t>
    </r>
    <r>
      <rPr>
        <vertAlign val="subscript"/>
        <sz val="14"/>
        <rFont val="Times New Roman"/>
        <family val="1"/>
      </rPr>
      <t>2</t>
    </r>
    <r>
      <rPr>
        <sz val="14"/>
        <rFont val="Times New Roman"/>
        <family val="1"/>
      </rPr>
      <t>-b</t>
    </r>
    <r>
      <rPr>
        <vertAlign val="subscript"/>
        <sz val="14"/>
        <rFont val="Times New Roman"/>
        <family val="1"/>
      </rPr>
      <t>1</t>
    </r>
    <r>
      <rPr>
        <sz val="14"/>
        <rFont val="Times New Roman"/>
        <family val="1"/>
      </rPr>
      <t>)</t>
    </r>
  </si>
  <si>
    <r>
      <t>A = a</t>
    </r>
    <r>
      <rPr>
        <vertAlign val="subscript"/>
        <sz val="14"/>
        <rFont val="Times New Roman"/>
        <family val="1"/>
      </rPr>
      <t>1</t>
    </r>
    <r>
      <rPr>
        <sz val="14"/>
        <rFont val="Times New Roman"/>
        <family val="1"/>
      </rPr>
      <t xml:space="preserve"> + (a</t>
    </r>
    <r>
      <rPr>
        <vertAlign val="subscript"/>
        <sz val="14"/>
        <rFont val="Times New Roman"/>
        <family val="1"/>
      </rPr>
      <t>2</t>
    </r>
    <r>
      <rPr>
        <sz val="14"/>
        <rFont val="Times New Roman"/>
        <family val="1"/>
      </rPr>
      <t xml:space="preserve"> - a</t>
    </r>
    <r>
      <rPr>
        <vertAlign val="subscript"/>
        <sz val="14"/>
        <rFont val="Times New Roman"/>
        <family val="1"/>
      </rPr>
      <t>1</t>
    </r>
    <r>
      <rPr>
        <sz val="14"/>
        <rFont val="Times New Roman"/>
        <family val="1"/>
      </rPr>
      <t>) x (B - b</t>
    </r>
    <r>
      <rPr>
        <vertAlign val="subscript"/>
        <sz val="14"/>
        <rFont val="Times New Roman"/>
        <family val="1"/>
      </rPr>
      <t>1</t>
    </r>
    <r>
      <rPr>
        <sz val="14"/>
        <rFont val="Times New Roman"/>
        <family val="1"/>
      </rPr>
      <t>): (b</t>
    </r>
    <r>
      <rPr>
        <vertAlign val="subscript"/>
        <sz val="14"/>
        <rFont val="Times New Roman"/>
        <family val="1"/>
      </rPr>
      <t>2</t>
    </r>
    <r>
      <rPr>
        <sz val="14"/>
        <rFont val="Times New Roman"/>
        <family val="1"/>
      </rPr>
      <t>-b</t>
    </r>
    <r>
      <rPr>
        <vertAlign val="subscript"/>
        <sz val="14"/>
        <rFont val="Times New Roman"/>
        <family val="1"/>
      </rPr>
      <t>1</t>
    </r>
    <r>
      <rPr>
        <sz val="14"/>
        <rFont val="Times New Roman"/>
        <family val="1"/>
      </rPr>
      <t>)</t>
    </r>
  </si>
  <si>
    <r>
      <t>Đơn vị</t>
    </r>
    <r>
      <rPr>
        <sz val="14"/>
        <rFont val="Times New Roman"/>
        <family val="1"/>
      </rPr>
      <t xml:space="preserve"> </t>
    </r>
    <r>
      <rPr>
        <b/>
        <sz val="14"/>
        <rFont val="Times New Roman"/>
        <family val="1"/>
      </rPr>
      <t>tính</t>
    </r>
  </si>
  <si>
    <t>PHỤ LỤC ĐƠN GIÁ</t>
  </si>
  <si>
    <t>(Kèm theo Quyết định số     /2023/QĐ-UBND ngày   tháng    năm      của Ủy ban nhân dân tỉnh Đồng 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</si>
</sst>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_(* \(#,##0\);_(* &quot;-&quot;?_);_(@_)"/>
    <numFmt numFmtId="167" formatCode="0.000"/>
    <numFmt numFmtId="168" formatCode="_-* #,##0\ _₫_-;\-* #,##0\ _₫_-;_-* &quot;-&quot;??\ _₫_-;_-@_-"/>
    <numFmt numFmtId="169" formatCode="_(* #,##0.000_);_(* \(#,##0.000\);_(* &quot;-&quot;??_);_(@_)"/>
    <numFmt numFmtId="170" formatCode="_(* #,##0.0000_);_(* \(#,##0.0000\);_(* &quot;-&quot;??_);_(@_)"/>
    <numFmt numFmtId="171" formatCode="_(* #,##0.00000_);_(* \(#,##0.00000\);_(* &quot;-&quot;??_);_(@_)"/>
    <numFmt numFmtId="172" formatCode="0.000000000000000%"/>
  </numFmts>
  <fonts count="20" x14ac:knownFonts="1">
    <font>
      <sz val="11"/>
      <color theme="1"/>
      <name val="Calibri"/>
      <family val="2"/>
      <scheme val="minor"/>
    </font>
    <font>
      <sz val="11"/>
      <color theme="1"/>
      <name val="Calibri"/>
      <family val="2"/>
      <scheme val="minor"/>
    </font>
    <font>
      <sz val="8"/>
      <name val="Calibri"/>
      <family val="2"/>
      <scheme val="minor"/>
    </font>
    <font>
      <b/>
      <sz val="14"/>
      <name val="Times New Roman"/>
      <family val="1"/>
    </font>
    <font>
      <sz val="14"/>
      <name val="Times New Roman"/>
      <family val="1"/>
    </font>
    <font>
      <b/>
      <i/>
      <sz val="14"/>
      <name val="Times New Roman"/>
      <family val="1"/>
    </font>
    <font>
      <b/>
      <sz val="13"/>
      <color theme="1"/>
      <name val="Times New Roman"/>
      <family val="1"/>
    </font>
    <font>
      <sz val="13"/>
      <color theme="1"/>
      <name val="Times New Roman"/>
      <family val="1"/>
    </font>
    <font>
      <i/>
      <sz val="13"/>
      <color theme="1"/>
      <name val="Times New Roman"/>
      <family val="1"/>
    </font>
    <font>
      <sz val="13"/>
      <color rgb="FFFF0000"/>
      <name val="Times New Roman"/>
      <family val="1"/>
    </font>
    <font>
      <b/>
      <sz val="13"/>
      <name val="Times New Roman"/>
      <family val="1"/>
    </font>
    <font>
      <sz val="13"/>
      <name val="Times New Roman"/>
      <family val="1"/>
    </font>
    <font>
      <sz val="12"/>
      <name val="Times New Roman"/>
      <family val="1"/>
    </font>
    <font>
      <sz val="10"/>
      <name val="Times New Roman"/>
      <family val="1"/>
    </font>
    <font>
      <i/>
      <sz val="14"/>
      <name val="Times New Roman"/>
      <family val="1"/>
    </font>
    <font>
      <vertAlign val="subscript"/>
      <sz val="14"/>
      <name val="Times New Roman"/>
      <family val="1"/>
    </font>
    <font>
      <b/>
      <sz val="12"/>
      <name val="Times New Roman"/>
      <family val="1"/>
    </font>
    <font>
      <b/>
      <i/>
      <sz val="12"/>
      <name val="Times New Roman"/>
      <family val="1"/>
    </font>
    <font>
      <sz val="11"/>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78">
    <xf numFmtId="0" fontId="0" fillId="0" borderId="0" xfId="0"/>
    <xf numFmtId="0" fontId="3" fillId="2" borderId="1" xfId="0" applyFont="1" applyFill="1" applyBorder="1" applyAlignment="1">
      <alignment horizontal="center" vertical="center"/>
    </xf>
    <xf numFmtId="0" fontId="7" fillId="0" borderId="0" xfId="0" applyFont="1"/>
    <xf numFmtId="0" fontId="7" fillId="0" borderId="0" xfId="0" applyFont="1" applyAlignment="1">
      <alignment horizontal="center" vertical="center"/>
    </xf>
    <xf numFmtId="0" fontId="7" fillId="0" borderId="0" xfId="0" applyFont="1" applyAlignment="1">
      <alignment horizontal="justify" vertical="center"/>
    </xf>
    <xf numFmtId="165" fontId="7" fillId="0" borderId="0" xfId="1" applyNumberFormat="1" applyFont="1" applyAlignment="1">
      <alignment vertical="center"/>
    </xf>
    <xf numFmtId="164" fontId="7" fillId="0" borderId="0" xfId="1" applyFont="1" applyAlignment="1">
      <alignment vertical="center"/>
    </xf>
    <xf numFmtId="165" fontId="9" fillId="0" borderId="0" xfId="1" applyNumberFormat="1" applyFont="1" applyAlignment="1">
      <alignment vertical="center"/>
    </xf>
    <xf numFmtId="0" fontId="10" fillId="2" borderId="1" xfId="0" applyFont="1" applyFill="1" applyBorder="1" applyAlignment="1">
      <alignment horizontal="center" vertical="center"/>
    </xf>
    <xf numFmtId="165" fontId="10" fillId="2" borderId="1" xfId="1" applyNumberFormat="1" applyFont="1" applyFill="1" applyBorder="1" applyAlignment="1">
      <alignment horizontal="center" vertical="center"/>
    </xf>
    <xf numFmtId="165" fontId="10" fillId="2" borderId="1" xfId="1"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justify" vertical="center" wrapText="1"/>
    </xf>
    <xf numFmtId="165" fontId="11" fillId="2" borderId="1" xfId="1" applyNumberFormat="1" applyFont="1" applyFill="1" applyBorder="1" applyAlignment="1">
      <alignment vertical="center"/>
    </xf>
    <xf numFmtId="165" fontId="10" fillId="2" borderId="1" xfId="1" applyNumberFormat="1" applyFont="1" applyFill="1" applyBorder="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Font="1" applyFill="1" applyBorder="1" applyAlignment="1">
      <alignment horizontal="justify"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0" fontId="3" fillId="2" borderId="0" xfId="0" applyFont="1" applyFill="1" applyAlignment="1">
      <alignment horizontal="left" vertical="center" wrapText="1"/>
    </xf>
    <xf numFmtId="0" fontId="4" fillId="2" borderId="0" xfId="0" applyFont="1" applyFill="1" applyAlignment="1">
      <alignment horizontal="justify"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2" fillId="2" borderId="0" xfId="0" applyFont="1" applyFill="1"/>
    <xf numFmtId="0" fontId="4" fillId="2" borderId="0" xfId="0" applyFont="1" applyFill="1"/>
    <xf numFmtId="165" fontId="4" fillId="2" borderId="0" xfId="1" applyNumberFormat="1" applyFont="1" applyFill="1"/>
    <xf numFmtId="165" fontId="3" fillId="2" borderId="1" xfId="1" applyNumberFormat="1" applyFont="1" applyFill="1" applyBorder="1" applyAlignment="1">
      <alignment horizontal="center" vertical="center" wrapText="1"/>
    </xf>
    <xf numFmtId="0" fontId="3" fillId="2" borderId="1" xfId="0" applyFont="1" applyFill="1" applyBorder="1"/>
    <xf numFmtId="0" fontId="4" fillId="2" borderId="1" xfId="0" applyFont="1" applyFill="1" applyBorder="1" applyAlignment="1">
      <alignment horizontal="center"/>
    </xf>
    <xf numFmtId="0" fontId="4" fillId="2" borderId="1" xfId="0" applyFont="1" applyFill="1" applyBorder="1"/>
    <xf numFmtId="165" fontId="4" fillId="2" borderId="1" xfId="1" applyNumberFormat="1" applyFont="1" applyFill="1" applyBorder="1"/>
    <xf numFmtId="165" fontId="3" fillId="2" borderId="1" xfId="1" applyNumberFormat="1" applyFont="1" applyFill="1" applyBorder="1"/>
    <xf numFmtId="0" fontId="3" fillId="2" borderId="1" xfId="0" applyFont="1" applyFill="1" applyBorder="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165" fontId="4" fillId="2" borderId="0" xfId="1" applyNumberFormat="1" applyFont="1" applyFill="1" applyBorder="1"/>
    <xf numFmtId="165" fontId="3" fillId="2" borderId="0" xfId="1" applyNumberFormat="1" applyFont="1" applyFill="1" applyBorder="1"/>
    <xf numFmtId="165" fontId="3" fillId="2" borderId="1" xfId="0" applyNumberFormat="1" applyFont="1" applyFill="1" applyBorder="1"/>
    <xf numFmtId="165" fontId="4" fillId="2" borderId="1" xfId="0" applyNumberFormat="1" applyFont="1" applyFill="1" applyBorder="1"/>
    <xf numFmtId="0" fontId="3" fillId="2" borderId="1" xfId="0" applyFont="1" applyFill="1" applyBorder="1" applyAlignment="1">
      <alignment horizontal="justify" vertical="center" wrapText="1"/>
    </xf>
    <xf numFmtId="165" fontId="3" fillId="2" borderId="0" xfId="0" applyNumberFormat="1" applyFont="1" applyFill="1"/>
    <xf numFmtId="165" fontId="3" fillId="2" borderId="1" xfId="1" applyNumberFormat="1" applyFont="1" applyFill="1" applyBorder="1" applyAlignment="1">
      <alignment vertical="center"/>
    </xf>
    <xf numFmtId="0" fontId="3" fillId="2" borderId="0" xfId="0" applyFont="1" applyFill="1"/>
    <xf numFmtId="0" fontId="3" fillId="2" borderId="1" xfId="0" applyFont="1" applyFill="1" applyBorder="1" applyAlignment="1">
      <alignment horizontal="justify" wrapText="1"/>
    </xf>
    <xf numFmtId="0" fontId="3" fillId="2" borderId="0" xfId="0" applyFont="1" applyFill="1" applyAlignment="1">
      <alignment horizontal="justify" wrapText="1"/>
    </xf>
    <xf numFmtId="165" fontId="3" fillId="2" borderId="0" xfId="1" applyNumberFormat="1" applyFont="1" applyFill="1" applyBorder="1" applyAlignment="1">
      <alignment vertical="center"/>
    </xf>
    <xf numFmtId="0" fontId="5" fillId="2" borderId="0" xfId="0" applyFont="1" applyFill="1" applyAlignment="1">
      <alignment horizontal="left" vertical="center" wrapText="1"/>
    </xf>
    <xf numFmtId="164" fontId="4" fillId="2" borderId="1" xfId="1" applyFont="1" applyFill="1" applyBorder="1"/>
    <xf numFmtId="164" fontId="4" fillId="2" borderId="1" xfId="0" applyNumberFormat="1" applyFont="1" applyFill="1" applyBorder="1"/>
    <xf numFmtId="169" fontId="4" fillId="2" borderId="1" xfId="1" applyNumberFormat="1" applyFont="1" applyFill="1" applyBorder="1"/>
    <xf numFmtId="2" fontId="4" fillId="2" borderId="1" xfId="0" applyNumberFormat="1" applyFont="1" applyFill="1" applyBorder="1"/>
    <xf numFmtId="0" fontId="4" fillId="2" borderId="1" xfId="0" applyFont="1" applyFill="1" applyBorder="1" applyAlignment="1">
      <alignment vertical="center"/>
    </xf>
    <xf numFmtId="0" fontId="4" fillId="2" borderId="1" xfId="0" applyFont="1" applyFill="1" applyBorder="1" applyAlignment="1">
      <alignment horizontal="justify" wrapText="1"/>
    </xf>
    <xf numFmtId="0" fontId="5" fillId="2" borderId="0" xfId="0" applyFont="1" applyFill="1"/>
    <xf numFmtId="0" fontId="3" fillId="2" borderId="0" xfId="0" applyFont="1" applyFill="1" applyAlignment="1">
      <alignment vertical="center"/>
    </xf>
    <xf numFmtId="164" fontId="3" fillId="2" borderId="1" xfId="1" applyFont="1" applyFill="1" applyBorder="1"/>
    <xf numFmtId="165" fontId="4" fillId="2" borderId="1" xfId="1" applyNumberFormat="1" applyFont="1" applyFill="1" applyBorder="1" applyAlignment="1">
      <alignment vertical="center"/>
    </xf>
    <xf numFmtId="0" fontId="5" fillId="2" borderId="0" xfId="0" applyFont="1" applyFill="1" applyAlignment="1">
      <alignment horizontal="left" vertical="center"/>
    </xf>
    <xf numFmtId="0" fontId="3" fillId="2" borderId="0" xfId="0" applyFont="1" applyFill="1" applyAlignment="1">
      <alignment horizontal="justify" vertical="center"/>
    </xf>
    <xf numFmtId="0" fontId="4" fillId="2" borderId="1" xfId="0" applyFont="1" applyFill="1" applyBorder="1" applyAlignment="1">
      <alignment horizontal="justify" vertical="center" wrapText="1"/>
    </xf>
    <xf numFmtId="167" fontId="4" fillId="2" borderId="1" xfId="0" applyNumberFormat="1" applyFont="1" applyFill="1" applyBorder="1" applyAlignment="1">
      <alignment horizontal="right" vertical="center" wrapText="1"/>
    </xf>
    <xf numFmtId="168" fontId="13" fillId="2" borderId="0" xfId="0" applyNumberFormat="1" applyFont="1" applyFill="1"/>
    <xf numFmtId="168" fontId="4" fillId="2" borderId="0" xfId="0" applyNumberFormat="1" applyFont="1" applyFill="1"/>
    <xf numFmtId="0" fontId="13" fillId="2" borderId="0" xfId="0" applyFont="1" applyFill="1"/>
    <xf numFmtId="0" fontId="14" fillId="2" borderId="0" xfId="0" applyFont="1" applyFill="1" applyAlignment="1">
      <alignment horizontal="right" vertical="center"/>
    </xf>
    <xf numFmtId="0" fontId="4" fillId="2" borderId="3" xfId="0" applyFont="1" applyFill="1" applyBorder="1"/>
    <xf numFmtId="0" fontId="4" fillId="2" borderId="6" xfId="0" applyFont="1" applyFill="1" applyBorder="1"/>
    <xf numFmtId="0" fontId="4" fillId="2" borderId="4" xfId="0" applyFont="1" applyFill="1" applyBorder="1"/>
    <xf numFmtId="165" fontId="3" fillId="2" borderId="3" xfId="1" applyNumberFormat="1" applyFont="1" applyFill="1" applyBorder="1" applyAlignment="1">
      <alignment horizontal="center" vertical="center" wrapText="1"/>
    </xf>
    <xf numFmtId="165" fontId="3" fillId="2" borderId="6" xfId="1"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165" fontId="3" fillId="2" borderId="3" xfId="0" applyNumberFormat="1" applyFont="1" applyFill="1" applyBorder="1"/>
    <xf numFmtId="165" fontId="3" fillId="2" borderId="6" xfId="0" applyNumberFormat="1" applyFont="1" applyFill="1" applyBorder="1"/>
    <xf numFmtId="165" fontId="4" fillId="2" borderId="3" xfId="0" applyNumberFormat="1" applyFont="1" applyFill="1" applyBorder="1"/>
    <xf numFmtId="165" fontId="4" fillId="2" borderId="6" xfId="0" applyNumberFormat="1" applyFont="1" applyFill="1" applyBorder="1"/>
    <xf numFmtId="165" fontId="3" fillId="2" borderId="7" xfId="0" applyNumberFormat="1" applyFont="1" applyFill="1" applyBorder="1"/>
    <xf numFmtId="0" fontId="4" fillId="2" borderId="9" xfId="0" applyFont="1" applyFill="1" applyBorder="1"/>
    <xf numFmtId="165" fontId="3" fillId="2" borderId="2" xfId="0" applyNumberFormat="1" applyFont="1" applyFill="1" applyBorder="1"/>
    <xf numFmtId="0" fontId="3" fillId="2" borderId="1" xfId="0" applyFont="1" applyFill="1" applyBorder="1" applyAlignment="1">
      <alignment horizontal="justify" vertical="center"/>
    </xf>
    <xf numFmtId="0" fontId="4" fillId="2" borderId="8" xfId="0" applyFont="1" applyFill="1" applyBorder="1"/>
    <xf numFmtId="0" fontId="14" fillId="2" borderId="0" xfId="0" applyFont="1" applyFill="1" applyAlignment="1">
      <alignment horizontal="justify" vertical="center"/>
    </xf>
    <xf numFmtId="0" fontId="12" fillId="2" borderId="6" xfId="0" applyFont="1" applyFill="1" applyBorder="1"/>
    <xf numFmtId="0" fontId="3" fillId="2" borderId="4" xfId="0" applyFont="1" applyFill="1" applyBorder="1" applyAlignment="1">
      <alignment horizontal="center" vertical="center" wrapText="1"/>
    </xf>
    <xf numFmtId="165" fontId="3" fillId="2" borderId="3" xfId="1" applyNumberFormat="1" applyFont="1" applyFill="1" applyBorder="1"/>
    <xf numFmtId="165" fontId="3" fillId="2" borderId="4" xfId="0" applyNumberFormat="1" applyFont="1" applyFill="1" applyBorder="1"/>
    <xf numFmtId="165" fontId="12" fillId="2" borderId="3" xfId="1" applyNumberFormat="1" applyFont="1" applyFill="1" applyBorder="1"/>
    <xf numFmtId="165" fontId="4" fillId="2" borderId="3" xfId="1" applyNumberFormat="1" applyFont="1" applyFill="1" applyBorder="1"/>
    <xf numFmtId="165" fontId="3" fillId="2" borderId="6" xfId="1" applyNumberFormat="1" applyFont="1" applyFill="1" applyBorder="1"/>
    <xf numFmtId="165" fontId="4" fillId="2" borderId="4" xfId="1" applyNumberFormat="1" applyFont="1" applyFill="1" applyBorder="1"/>
    <xf numFmtId="0" fontId="5" fillId="2" borderId="1" xfId="0" applyFont="1" applyFill="1" applyBorder="1" applyAlignment="1">
      <alignment horizontal="justify" vertical="center" wrapText="1"/>
    </xf>
    <xf numFmtId="0" fontId="3" fillId="2" borderId="6" xfId="0" applyFont="1" applyFill="1" applyBorder="1"/>
    <xf numFmtId="165" fontId="16" fillId="2" borderId="3" xfId="1" applyNumberFormat="1" applyFont="1" applyFill="1" applyBorder="1"/>
    <xf numFmtId="165" fontId="3" fillId="2" borderId="4" xfId="1" applyNumberFormat="1" applyFont="1" applyFill="1" applyBorder="1"/>
    <xf numFmtId="165" fontId="3" fillId="2" borderId="0" xfId="1" applyNumberFormat="1" applyFont="1" applyFill="1" applyBorder="1" applyAlignment="1">
      <alignment horizontal="center" vertical="center" wrapText="1"/>
    </xf>
    <xf numFmtId="165" fontId="16" fillId="2" borderId="1" xfId="1" applyNumberFormat="1" applyFont="1" applyFill="1" applyBorder="1"/>
    <xf numFmtId="165" fontId="12" fillId="2" borderId="1" xfId="1" applyNumberFormat="1" applyFont="1" applyFill="1" applyBorder="1"/>
    <xf numFmtId="165" fontId="5" fillId="2" borderId="1" xfId="1" applyNumberFormat="1" applyFont="1" applyFill="1" applyBorder="1"/>
    <xf numFmtId="0" fontId="5" fillId="2" borderId="1" xfId="0" applyFont="1" applyFill="1" applyBorder="1" applyAlignment="1">
      <alignment horizontal="center" vertical="center"/>
    </xf>
    <xf numFmtId="0" fontId="5" fillId="2" borderId="1" xfId="0" applyFont="1" applyFill="1" applyBorder="1" applyAlignment="1">
      <alignment horizontal="right" vertical="center" wrapText="1"/>
    </xf>
    <xf numFmtId="165" fontId="3" fillId="2" borderId="5" xfId="1" applyNumberFormat="1" applyFont="1" applyFill="1" applyBorder="1" applyAlignment="1">
      <alignment horizontal="center" vertical="center" wrapText="1"/>
    </xf>
    <xf numFmtId="165" fontId="3" fillId="2" borderId="5" xfId="1" applyNumberFormat="1" applyFont="1" applyFill="1" applyBorder="1"/>
    <xf numFmtId="0" fontId="16" fillId="2" borderId="0" xfId="0" applyFont="1" applyFill="1"/>
    <xf numFmtId="0" fontId="17" fillId="2" borderId="0" xfId="0" applyFont="1" applyFill="1"/>
    <xf numFmtId="165" fontId="4" fillId="2" borderId="0" xfId="0" applyNumberFormat="1" applyFont="1" applyFill="1"/>
    <xf numFmtId="0" fontId="5" fillId="2" borderId="1" xfId="0" applyFont="1" applyFill="1" applyBorder="1"/>
    <xf numFmtId="165" fontId="3" fillId="2" borderId="2" xfId="1" applyNumberFormat="1" applyFont="1" applyFill="1" applyBorder="1"/>
    <xf numFmtId="165" fontId="3" fillId="2" borderId="7" xfId="1" applyNumberFormat="1" applyFont="1" applyFill="1" applyBorder="1"/>
    <xf numFmtId="165" fontId="3" fillId="2" borderId="8" xfId="1" applyNumberFormat="1" applyFont="1" applyFill="1" applyBorder="1"/>
    <xf numFmtId="0" fontId="5" fillId="2" borderId="0" xfId="0" applyFont="1" applyFill="1" applyAlignment="1">
      <alignment horizontal="center" vertical="center"/>
    </xf>
    <xf numFmtId="0" fontId="4" fillId="2" borderId="0" xfId="0" applyFont="1" applyFill="1" applyAlignment="1">
      <alignment horizontal="right"/>
    </xf>
    <xf numFmtId="171" fontId="4" fillId="2" borderId="0" xfId="1" applyNumberFormat="1" applyFont="1" applyFill="1"/>
    <xf numFmtId="170" fontId="4" fillId="2" borderId="0" xfId="0" applyNumberFormat="1" applyFont="1" applyFill="1"/>
    <xf numFmtId="172" fontId="4" fillId="2" borderId="0" xfId="0" applyNumberFormat="1" applyFont="1" applyFill="1"/>
    <xf numFmtId="165" fontId="3" fillId="2" borderId="0" xfId="1" applyNumberFormat="1" applyFont="1" applyFill="1"/>
    <xf numFmtId="165" fontId="4" fillId="2" borderId="5" xfId="1" applyNumberFormat="1" applyFont="1" applyFill="1" applyBorder="1"/>
    <xf numFmtId="0" fontId="4" fillId="2" borderId="5" xfId="0" applyFont="1" applyFill="1" applyBorder="1"/>
    <xf numFmtId="0" fontId="16" fillId="2" borderId="0" xfId="0" applyFont="1" applyFill="1" applyAlignment="1">
      <alignment horizontal="center" vertical="center"/>
    </xf>
    <xf numFmtId="165" fontId="12" fillId="2" borderId="0" xfId="1" applyNumberFormat="1" applyFont="1" applyFill="1"/>
    <xf numFmtId="165" fontId="16" fillId="2" borderId="0" xfId="1" applyNumberFormat="1" applyFont="1" applyFill="1"/>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165" fontId="16" fillId="2" borderId="1" xfId="1" applyNumberFormat="1" applyFont="1" applyFill="1" applyBorder="1" applyAlignment="1">
      <alignment horizontal="center" vertical="center" wrapText="1"/>
    </xf>
    <xf numFmtId="0" fontId="12" fillId="2" borderId="1" xfId="0" applyFont="1" applyFill="1" applyBorder="1" applyAlignment="1">
      <alignment horizontal="center"/>
    </xf>
    <xf numFmtId="0" fontId="12" fillId="2" borderId="1" xfId="0" applyFont="1" applyFill="1" applyBorder="1"/>
    <xf numFmtId="166" fontId="12" fillId="2" borderId="1" xfId="0" applyNumberFormat="1" applyFont="1" applyFill="1" applyBorder="1"/>
    <xf numFmtId="2" fontId="12" fillId="2" borderId="1" xfId="0" applyNumberFormat="1" applyFont="1" applyFill="1" applyBorder="1"/>
    <xf numFmtId="0" fontId="18" fillId="2" borderId="0" xfId="0" applyFont="1" applyFill="1"/>
    <xf numFmtId="0" fontId="1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5" fontId="12" fillId="2" borderId="1" xfId="1" applyNumberFormat="1" applyFont="1" applyFill="1" applyBorder="1" applyAlignment="1">
      <alignment vertical="center"/>
    </xf>
    <xf numFmtId="165" fontId="12" fillId="2" borderId="1" xfId="0" applyNumberFormat="1" applyFont="1" applyFill="1" applyBorder="1" applyAlignment="1">
      <alignment vertical="center"/>
    </xf>
    <xf numFmtId="0" fontId="12" fillId="2" borderId="1" xfId="0" applyFont="1" applyFill="1" applyBorder="1" applyAlignment="1">
      <alignment vertical="center" wrapText="1"/>
    </xf>
    <xf numFmtId="165" fontId="18" fillId="2" borderId="0" xfId="1" applyNumberFormat="1" applyFont="1" applyFill="1"/>
    <xf numFmtId="165" fontId="16"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6" xfId="0" applyFont="1" applyFill="1" applyBorder="1" applyAlignment="1">
      <alignment horizontal="center"/>
    </xf>
    <xf numFmtId="0" fontId="12" fillId="2" borderId="6" xfId="0" applyFont="1" applyFill="1" applyBorder="1" applyAlignment="1">
      <alignment horizontal="center" vertical="center"/>
    </xf>
    <xf numFmtId="0" fontId="6" fillId="0" borderId="0" xfId="0" applyFont="1" applyAlignment="1">
      <alignment horizontal="center"/>
    </xf>
    <xf numFmtId="0" fontId="8" fillId="0" borderId="0" xfId="0" applyFont="1" applyAlignment="1">
      <alignment horizontal="center"/>
    </xf>
    <xf numFmtId="165" fontId="10" fillId="2" borderId="1" xfId="1"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3"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3" fillId="2" borderId="0" xfId="0" applyFont="1" applyFill="1" applyAlignment="1">
      <alignment horizontal="left" vertical="center"/>
    </xf>
    <xf numFmtId="0" fontId="4" fillId="2" borderId="0" xfId="0" quotePrefix="1" applyFont="1" applyFill="1" applyAlignment="1">
      <alignment horizontal="left" vertical="center" wrapText="1"/>
    </xf>
    <xf numFmtId="0" fontId="4" fillId="2" borderId="0" xfId="0" applyFont="1" applyFill="1" applyAlignment="1">
      <alignment horizontal="left" vertical="center" wrapText="1"/>
    </xf>
    <xf numFmtId="0" fontId="3" fillId="2" borderId="0" xfId="0" applyFont="1" applyFill="1" applyAlignment="1">
      <alignment horizontal="justify" vertical="center"/>
    </xf>
    <xf numFmtId="0" fontId="4" fillId="2" borderId="0" xfId="0" quotePrefix="1" applyFont="1" applyFill="1" applyAlignment="1">
      <alignment horizontal="justify" vertical="center" wrapText="1"/>
    </xf>
    <xf numFmtId="0" fontId="3" fillId="2" borderId="0" xfId="0" applyFont="1" applyFill="1" applyAlignment="1">
      <alignment horizontal="justify"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3" fillId="2" borderId="10" xfId="0" applyFont="1" applyFill="1" applyBorder="1" applyAlignment="1">
      <alignment horizontal="left" vertical="center"/>
    </xf>
    <xf numFmtId="0" fontId="3" fillId="2" borderId="4" xfId="0" applyFont="1" applyFill="1" applyBorder="1" applyAlignment="1">
      <alignment horizontal="left" vertical="center"/>
    </xf>
    <xf numFmtId="0" fontId="4" fillId="2" borderId="0" xfId="0" quotePrefix="1" applyFont="1" applyFill="1" applyAlignment="1">
      <alignment horizontal="justify" vertical="center"/>
    </xf>
    <xf numFmtId="0" fontId="4" fillId="2" borderId="0" xfId="0" applyFont="1" applyFill="1" applyAlignment="1">
      <alignment horizontal="center" vertical="center"/>
    </xf>
    <xf numFmtId="0" fontId="3" fillId="2" borderId="0" xfId="0" applyFont="1" applyFill="1" applyAlignment="1">
      <alignment horizontal="left" vertical="center" wrapText="1"/>
    </xf>
    <xf numFmtId="0" fontId="5" fillId="2" borderId="0" xfId="0" applyFont="1" applyFill="1" applyAlignment="1">
      <alignment horizontal="left" vertical="center" wrapText="1"/>
    </xf>
    <xf numFmtId="0" fontId="4" fillId="2" borderId="0" xfId="0" applyFont="1" applyFill="1" applyAlignment="1">
      <alignment horizontal="justify" vertical="center"/>
    </xf>
    <xf numFmtId="0" fontId="4" fillId="2" borderId="0" xfId="0" applyFont="1" applyFill="1" applyAlignment="1">
      <alignment horizontal="justify" vertical="center" wrapText="1"/>
    </xf>
    <xf numFmtId="0" fontId="5" fillId="2" borderId="0" xfId="0" applyFont="1" applyFill="1" applyAlignment="1">
      <alignment horizontal="left"/>
    </xf>
    <xf numFmtId="0" fontId="3" fillId="2" borderId="0" xfId="0" applyFont="1" applyFill="1" applyAlignment="1">
      <alignment horizontal="left"/>
    </xf>
    <xf numFmtId="0" fontId="4" fillId="2" borderId="0" xfId="0" quotePrefix="1" applyFont="1" applyFill="1" applyAlignment="1">
      <alignment horizontal="left" vertical="center"/>
    </xf>
    <xf numFmtId="0" fontId="4" fillId="2" borderId="0" xfId="0" applyFont="1" applyFill="1" applyAlignment="1">
      <alignment horizontal="left" vertical="center"/>
    </xf>
    <xf numFmtId="0" fontId="16" fillId="2" borderId="0" xfId="0" applyFont="1" applyFill="1" applyAlignment="1">
      <alignment horizontal="center"/>
    </xf>
    <xf numFmtId="0" fontId="3" fillId="2" borderId="0" xfId="0" applyFont="1" applyFill="1" applyAlignment="1">
      <alignment horizontal="center" vertical="center"/>
    </xf>
    <xf numFmtId="0" fontId="16" fillId="2"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834A3-10B7-4370-9200-46FDCBCC5275}">
  <dimension ref="A1:J91"/>
  <sheetViews>
    <sheetView tabSelected="1" zoomScale="70" zoomScaleNormal="70" workbookViewId="0">
      <selection activeCell="A2" sqref="A2:J2"/>
    </sheetView>
  </sheetViews>
  <sheetFormatPr defaultColWidth="8.85546875" defaultRowHeight="16.5" x14ac:dyDescent="0.25"/>
  <cols>
    <col min="1" max="1" width="6" style="3" customWidth="1"/>
    <col min="2" max="2" width="24.85546875" style="4" customWidth="1"/>
    <col min="3" max="3" width="11.5703125" style="3" customWidth="1"/>
    <col min="4" max="4" width="15.85546875" style="5" bestFit="1" customWidth="1"/>
    <col min="5" max="5" width="14.28515625" style="5" customWidth="1"/>
    <col min="6" max="6" width="14" style="5" customWidth="1"/>
    <col min="7" max="7" width="14.5703125" style="5" bestFit="1" customWidth="1"/>
    <col min="8" max="8" width="13.5703125" style="5" customWidth="1"/>
    <col min="9" max="9" width="14.85546875" style="7" customWidth="1"/>
    <col min="10" max="10" width="15.85546875" style="5" bestFit="1" customWidth="1"/>
    <col min="11" max="16384" width="8.85546875" style="2"/>
  </cols>
  <sheetData>
    <row r="1" spans="1:10" x14ac:dyDescent="0.25">
      <c r="A1" s="144" t="s">
        <v>303</v>
      </c>
      <c r="B1" s="144"/>
      <c r="C1" s="144"/>
      <c r="D1" s="144"/>
      <c r="E1" s="144"/>
      <c r="F1" s="144"/>
      <c r="G1" s="144"/>
      <c r="H1" s="144"/>
      <c r="I1" s="144"/>
      <c r="J1" s="144"/>
    </row>
    <row r="2" spans="1:10" x14ac:dyDescent="0.25">
      <c r="A2" s="145" t="s">
        <v>304</v>
      </c>
      <c r="B2" s="145"/>
      <c r="C2" s="145"/>
      <c r="D2" s="145"/>
      <c r="E2" s="145"/>
      <c r="F2" s="145"/>
      <c r="G2" s="145"/>
      <c r="H2" s="145"/>
      <c r="I2" s="145"/>
      <c r="J2" s="145"/>
    </row>
    <row r="3" spans="1:10" hidden="1" x14ac:dyDescent="0.25">
      <c r="J3" s="6">
        <v>0.15</v>
      </c>
    </row>
    <row r="5" spans="1:10" x14ac:dyDescent="0.25">
      <c r="A5" s="147" t="s">
        <v>0</v>
      </c>
      <c r="B5" s="147" t="s">
        <v>71</v>
      </c>
      <c r="C5" s="148" t="s">
        <v>72</v>
      </c>
      <c r="D5" s="146" t="s">
        <v>4</v>
      </c>
      <c r="E5" s="146"/>
      <c r="F5" s="146"/>
      <c r="G5" s="146" t="s">
        <v>74</v>
      </c>
      <c r="H5" s="146"/>
      <c r="I5" s="146" t="s">
        <v>75</v>
      </c>
      <c r="J5" s="146"/>
    </row>
    <row r="6" spans="1:10" s="3" customFormat="1" ht="49.15" customHeight="1" x14ac:dyDescent="0.25">
      <c r="A6" s="147"/>
      <c r="B6" s="147"/>
      <c r="C6" s="148"/>
      <c r="D6" s="9" t="s">
        <v>73</v>
      </c>
      <c r="E6" s="10" t="s">
        <v>28</v>
      </c>
      <c r="F6" s="9" t="s">
        <v>29</v>
      </c>
      <c r="G6" s="10" t="s">
        <v>76</v>
      </c>
      <c r="H6" s="10" t="s">
        <v>77</v>
      </c>
      <c r="I6" s="10" t="s">
        <v>76</v>
      </c>
      <c r="J6" s="10" t="s">
        <v>77</v>
      </c>
    </row>
    <row r="7" spans="1:10" s="3" customFormat="1" ht="21.95" customHeight="1" x14ac:dyDescent="0.25">
      <c r="A7" s="8" t="s">
        <v>38</v>
      </c>
      <c r="B7" s="149" t="s">
        <v>229</v>
      </c>
      <c r="C7" s="150"/>
      <c r="D7" s="150"/>
      <c r="E7" s="150"/>
      <c r="F7" s="150"/>
      <c r="G7" s="150"/>
      <c r="H7" s="150"/>
      <c r="I7" s="150"/>
      <c r="J7" s="151"/>
    </row>
    <row r="8" spans="1:10" ht="66" x14ac:dyDescent="0.25">
      <c r="A8" s="11">
        <v>1</v>
      </c>
      <c r="B8" s="12" t="s">
        <v>78</v>
      </c>
      <c r="C8" s="11" t="s">
        <v>79</v>
      </c>
      <c r="D8" s="13">
        <f>'ĐƠN GIÁ'!F7</f>
        <v>104843.34900000002</v>
      </c>
      <c r="E8" s="13">
        <f>'ĐƠN GIÁ'!F14</f>
        <v>4252.76</v>
      </c>
      <c r="F8" s="13">
        <f>'ĐƠN GIÁ'!F18</f>
        <v>1170</v>
      </c>
      <c r="G8" s="13">
        <f>SUM(D8:F8)*$J$3</f>
        <v>16539.91635</v>
      </c>
      <c r="H8" s="13">
        <f>(D8+F8)*$J$3</f>
        <v>15902.002350000002</v>
      </c>
      <c r="I8" s="14">
        <f>SUM(D8:G8)</f>
        <v>126806.02535000001</v>
      </c>
      <c r="J8" s="14">
        <f>D8+F8+H8</f>
        <v>121915.35135000001</v>
      </c>
    </row>
    <row r="9" spans="1:10" ht="115.5" x14ac:dyDescent="0.25">
      <c r="A9" s="11">
        <v>2</v>
      </c>
      <c r="B9" s="12" t="s">
        <v>279</v>
      </c>
      <c r="C9" s="11" t="s">
        <v>81</v>
      </c>
      <c r="D9" s="13">
        <f>'ĐƠN GIÁ'!F31</f>
        <v>7327562.4674999993</v>
      </c>
      <c r="E9" s="13">
        <f>'ĐƠN GIÁ'!F38</f>
        <v>264960</v>
      </c>
      <c r="F9" s="13">
        <f>'ĐƠN GIÁ'!F41</f>
        <v>0</v>
      </c>
      <c r="G9" s="13">
        <f>SUM(D9:F9)*$J$3</f>
        <v>1138878.3701249999</v>
      </c>
      <c r="H9" s="13">
        <f>(D9+F9)*$J$3</f>
        <v>1099134.3701249999</v>
      </c>
      <c r="I9" s="14">
        <f>SUM(D9:G9)</f>
        <v>8731400.8376249988</v>
      </c>
      <c r="J9" s="14">
        <f>D9+F9+H9</f>
        <v>8426696.8376249988</v>
      </c>
    </row>
    <row r="10" spans="1:10" ht="66" x14ac:dyDescent="0.25">
      <c r="A10" s="11"/>
      <c r="B10" s="12" t="s">
        <v>281</v>
      </c>
      <c r="C10" s="11" t="s">
        <v>280</v>
      </c>
      <c r="D10" s="13">
        <f>'ĐƠN GIÁ'!K31</f>
        <v>359869.5</v>
      </c>
      <c r="E10" s="13">
        <f>'ĐƠN GIÁ'!K38</f>
        <v>6000</v>
      </c>
      <c r="F10" s="13">
        <v>0</v>
      </c>
      <c r="G10" s="13">
        <f t="shared" ref="G10:G11" si="0">SUM(D10:F10)*$J$3</f>
        <v>54880.424999999996</v>
      </c>
      <c r="H10" s="13">
        <f t="shared" ref="H10:H11" si="1">(D10+F10)*$J$3</f>
        <v>53980.424999999996</v>
      </c>
      <c r="I10" s="14">
        <f t="shared" ref="I10:I11" si="2">SUM(D10:G10)</f>
        <v>420749.92499999999</v>
      </c>
      <c r="J10" s="14">
        <f>D10+F10+H10</f>
        <v>413849.92499999999</v>
      </c>
    </row>
    <row r="11" spans="1:10" ht="66" x14ac:dyDescent="0.25">
      <c r="A11" s="11"/>
      <c r="B11" s="12" t="s">
        <v>282</v>
      </c>
      <c r="C11" s="11" t="s">
        <v>280</v>
      </c>
      <c r="D11" s="13">
        <f>'ĐƠN GIÁ'!O31</f>
        <v>261790.3125</v>
      </c>
      <c r="E11" s="13">
        <f>'ĐƠN GIÁ'!O38</f>
        <v>6000.0000000000291</v>
      </c>
      <c r="F11" s="13"/>
      <c r="G11" s="13">
        <f t="shared" si="0"/>
        <v>40168.546875</v>
      </c>
      <c r="H11" s="13">
        <f t="shared" si="1"/>
        <v>39268.546875</v>
      </c>
      <c r="I11" s="14">
        <f t="shared" si="2"/>
        <v>307958.859375</v>
      </c>
      <c r="J11" s="14">
        <f t="shared" ref="J11" si="3">D11+F11+H11</f>
        <v>301058.859375</v>
      </c>
    </row>
    <row r="12" spans="1:10" ht="49.5" x14ac:dyDescent="0.25">
      <c r="A12" s="11">
        <v>3</v>
      </c>
      <c r="B12" s="12" t="s">
        <v>82</v>
      </c>
      <c r="C12" s="11" t="s">
        <v>81</v>
      </c>
      <c r="D12" s="13">
        <f>'ĐƠN GIÁ'!F57</f>
        <v>6534345.1949999994</v>
      </c>
      <c r="E12" s="13">
        <f>'ĐƠN GIÁ'!F64</f>
        <v>238104</v>
      </c>
      <c r="F12" s="13">
        <f>'ĐƠN GIÁ'!F67</f>
        <v>11700</v>
      </c>
      <c r="G12" s="13">
        <f>SUM(D12:F12)*$J$3</f>
        <v>1017622.3792499999</v>
      </c>
      <c r="H12" s="13">
        <f>(D12+F12)*$J$3</f>
        <v>981906.77924999991</v>
      </c>
      <c r="I12" s="14">
        <f>SUM(D12:G12)</f>
        <v>7801771.5742499996</v>
      </c>
      <c r="J12" s="14">
        <f>D12+F12+H12</f>
        <v>7527951.974249999</v>
      </c>
    </row>
    <row r="13" spans="1:10" ht="66" x14ac:dyDescent="0.25">
      <c r="A13" s="11"/>
      <c r="B13" s="12" t="s">
        <v>281</v>
      </c>
      <c r="C13" s="11" t="s">
        <v>280</v>
      </c>
      <c r="D13" s="13">
        <f>'ĐƠN GIÁ'!K57</f>
        <v>359869.50000000093</v>
      </c>
      <c r="E13" s="13">
        <f>'ĐƠN GIÁ'!K64</f>
        <v>10000</v>
      </c>
      <c r="F13" s="13">
        <v>0</v>
      </c>
      <c r="G13" s="13">
        <f t="shared" ref="G13:G14" si="4">SUM(D13:F13)*$J$3</f>
        <v>55480.425000000141</v>
      </c>
      <c r="H13" s="13">
        <f t="shared" ref="H13" si="5">(D13+F13)*$J$3</f>
        <v>53980.425000000141</v>
      </c>
      <c r="I13" s="14">
        <f t="shared" ref="I13:I14" si="6">SUM(D13:G13)</f>
        <v>425349.92500000109</v>
      </c>
      <c r="J13" s="14">
        <f t="shared" ref="J13:J14" si="7">D13+F13+H13</f>
        <v>413849.92500000109</v>
      </c>
    </row>
    <row r="14" spans="1:10" ht="66" x14ac:dyDescent="0.25">
      <c r="A14" s="11"/>
      <c r="B14" s="12" t="s">
        <v>282</v>
      </c>
      <c r="C14" s="11" t="s">
        <v>280</v>
      </c>
      <c r="D14" s="13">
        <f>'ĐƠN GIÁ'!O57</f>
        <v>485478.83249999955</v>
      </c>
      <c r="E14" s="13">
        <f>'ĐƠN GIÁ'!O64</f>
        <v>6024</v>
      </c>
      <c r="F14" s="13">
        <v>0</v>
      </c>
      <c r="G14" s="13">
        <f t="shared" si="4"/>
        <v>73725.424874999924</v>
      </c>
      <c r="H14" s="13">
        <f>(D14+F14)*$J$3</f>
        <v>72821.824874999933</v>
      </c>
      <c r="I14" s="14">
        <f t="shared" si="6"/>
        <v>565228.25737499946</v>
      </c>
      <c r="J14" s="14">
        <f t="shared" si="7"/>
        <v>558300.65737499949</v>
      </c>
    </row>
    <row r="15" spans="1:10" ht="49.5" x14ac:dyDescent="0.25">
      <c r="A15" s="11">
        <v>4</v>
      </c>
      <c r="B15" s="12" t="s">
        <v>245</v>
      </c>
      <c r="C15" s="11" t="s">
        <v>278</v>
      </c>
      <c r="D15" s="13">
        <f>'ĐƠN GIÁ'!F83</f>
        <v>15684941.654999999</v>
      </c>
      <c r="E15" s="13">
        <f>'ĐƠN GIÁ'!F90</f>
        <v>541680</v>
      </c>
      <c r="F15" s="13">
        <f>'ĐƠN GIÁ'!F93</f>
        <v>362700</v>
      </c>
      <c r="G15" s="13">
        <f>SUM(D15:F15)*$J$3</f>
        <v>2488398.2482499997</v>
      </c>
      <c r="H15" s="13">
        <f t="shared" ref="H15:H30" si="8">(D15+F15)*$J$3</f>
        <v>2407146.2482499997</v>
      </c>
      <c r="I15" s="14">
        <f>SUM(D15:G15)</f>
        <v>19077719.903249998</v>
      </c>
      <c r="J15" s="14">
        <f t="shared" ref="J15:J30" si="9">D15+F15+H15</f>
        <v>18454787.903249998</v>
      </c>
    </row>
    <row r="16" spans="1:10" ht="66" x14ac:dyDescent="0.25">
      <c r="A16" s="11"/>
      <c r="B16" s="12" t="s">
        <v>281</v>
      </c>
      <c r="C16" s="11" t="s">
        <v>280</v>
      </c>
      <c r="D16" s="13">
        <f>'ĐƠN GIÁ'!J83</f>
        <v>107960.84999999963</v>
      </c>
      <c r="E16" s="13">
        <f>'ĐƠN GIÁ'!J90</f>
        <v>3000</v>
      </c>
      <c r="F16" s="13">
        <v>0</v>
      </c>
      <c r="G16" s="13">
        <f>SUM(D16:F16)*$J$3</f>
        <v>16644.127499999944</v>
      </c>
      <c r="H16" s="13">
        <f>(D16+F16)*$J$3</f>
        <v>16194.127499999944</v>
      </c>
      <c r="I16" s="14">
        <f t="shared" ref="I16:I30" si="10">SUM(D16:G16)</f>
        <v>127604.97749999957</v>
      </c>
      <c r="J16" s="14">
        <f t="shared" si="9"/>
        <v>124154.97749999957</v>
      </c>
    </row>
    <row r="17" spans="1:10" ht="66" x14ac:dyDescent="0.25">
      <c r="A17" s="11"/>
      <c r="B17" s="12" t="s">
        <v>282</v>
      </c>
      <c r="C17" s="11" t="s">
        <v>280</v>
      </c>
      <c r="D17" s="13">
        <f>'ĐƠN GIÁ'!N83</f>
        <v>107960.84999999963</v>
      </c>
      <c r="E17" s="13">
        <f>'ĐƠN GIÁ'!N90</f>
        <v>2520</v>
      </c>
      <c r="F17" s="13">
        <v>0</v>
      </c>
      <c r="G17" s="13">
        <f t="shared" ref="G17:G30" si="11">SUM(D17:F17)*$J$3</f>
        <v>16572.127499999944</v>
      </c>
      <c r="H17" s="13">
        <f t="shared" si="8"/>
        <v>16194.127499999944</v>
      </c>
      <c r="I17" s="14">
        <f t="shared" si="10"/>
        <v>127052.97749999957</v>
      </c>
      <c r="J17" s="14">
        <f t="shared" si="9"/>
        <v>124154.97749999957</v>
      </c>
    </row>
    <row r="18" spans="1:10" ht="66" x14ac:dyDescent="0.25">
      <c r="A18" s="11">
        <v>5</v>
      </c>
      <c r="B18" s="12" t="s">
        <v>270</v>
      </c>
      <c r="C18" s="11" t="s">
        <v>278</v>
      </c>
      <c r="D18" s="13">
        <f>'ĐƠN GIÁ'!F109</f>
        <v>73678236.05250001</v>
      </c>
      <c r="E18" s="13">
        <f>'ĐƠN GIÁ'!F116</f>
        <v>2349800</v>
      </c>
      <c r="F18" s="13">
        <f>'ĐƠN GIÁ'!F119</f>
        <v>13966300</v>
      </c>
      <c r="G18" s="13">
        <f t="shared" si="11"/>
        <v>13499150.407875001</v>
      </c>
      <c r="H18" s="13">
        <f t="shared" si="8"/>
        <v>13146680.407875001</v>
      </c>
      <c r="I18" s="14">
        <f t="shared" si="10"/>
        <v>103493486.46037501</v>
      </c>
      <c r="J18" s="14">
        <f t="shared" si="9"/>
        <v>100791216.46037501</v>
      </c>
    </row>
    <row r="19" spans="1:10" ht="66" x14ac:dyDescent="0.25">
      <c r="A19" s="11"/>
      <c r="B19" s="12" t="s">
        <v>281</v>
      </c>
      <c r="C19" s="11" t="s">
        <v>280</v>
      </c>
      <c r="D19" s="13">
        <f>'ĐƠN GIÁ'!J109</f>
        <v>359869.4999999851</v>
      </c>
      <c r="E19" s="13">
        <f>'ĐƠN GIÁ'!J116</f>
        <v>10000</v>
      </c>
      <c r="F19" s="13">
        <v>0</v>
      </c>
      <c r="G19" s="13">
        <f t="shared" si="11"/>
        <v>55480.424999997762</v>
      </c>
      <c r="H19" s="13">
        <f t="shared" si="8"/>
        <v>53980.424999997762</v>
      </c>
      <c r="I19" s="14">
        <f t="shared" si="10"/>
        <v>425349.92499998288</v>
      </c>
      <c r="J19" s="14">
        <f t="shared" si="9"/>
        <v>413849.92499998288</v>
      </c>
    </row>
    <row r="20" spans="1:10" ht="66" x14ac:dyDescent="0.25">
      <c r="A20" s="11"/>
      <c r="B20" s="12" t="s">
        <v>282</v>
      </c>
      <c r="C20" s="11" t="s">
        <v>280</v>
      </c>
      <c r="D20" s="13">
        <f>'ĐƠN GIÁ'!N109</f>
        <v>359869.5</v>
      </c>
      <c r="E20" s="13">
        <f>'ĐƠN GIÁ'!N116</f>
        <v>10000</v>
      </c>
      <c r="F20" s="13">
        <v>0</v>
      </c>
      <c r="G20" s="13">
        <f t="shared" si="11"/>
        <v>55480.424999999996</v>
      </c>
      <c r="H20" s="13">
        <f t="shared" si="8"/>
        <v>53980.424999999996</v>
      </c>
      <c r="I20" s="14">
        <f t="shared" si="10"/>
        <v>425349.92499999999</v>
      </c>
      <c r="J20" s="14">
        <f t="shared" si="9"/>
        <v>413849.92499999999</v>
      </c>
    </row>
    <row r="21" spans="1:10" ht="49.5" x14ac:dyDescent="0.25">
      <c r="A21" s="11">
        <v>6</v>
      </c>
      <c r="B21" s="12" t="s">
        <v>254</v>
      </c>
      <c r="C21" s="11" t="s">
        <v>283</v>
      </c>
      <c r="D21" s="13">
        <f>'ĐƠN GIÁ'!F136</f>
        <v>14311774.035</v>
      </c>
      <c r="E21" s="13">
        <f>'ĐƠN GIÁ'!F143</f>
        <v>400960.00000000006</v>
      </c>
      <c r="F21" s="13">
        <f>'ĐƠN GIÁ'!F146</f>
        <v>218200</v>
      </c>
      <c r="G21" s="13">
        <f t="shared" si="11"/>
        <v>2239640.10525</v>
      </c>
      <c r="H21" s="13">
        <f t="shared" si="8"/>
        <v>2179496.10525</v>
      </c>
      <c r="I21" s="14">
        <f t="shared" si="10"/>
        <v>17170574.140250001</v>
      </c>
      <c r="J21" s="14">
        <f t="shared" si="9"/>
        <v>16709470.140250001</v>
      </c>
    </row>
    <row r="22" spans="1:10" ht="66" x14ac:dyDescent="0.25">
      <c r="A22" s="11"/>
      <c r="B22" s="12" t="s">
        <v>281</v>
      </c>
      <c r="C22" s="11" t="s">
        <v>280</v>
      </c>
      <c r="D22" s="13">
        <f>'ĐƠN GIÁ'!J136</f>
        <v>327422.25</v>
      </c>
      <c r="E22" s="13">
        <f>'ĐƠN GIÁ'!J143</f>
        <v>10000</v>
      </c>
      <c r="F22" s="13">
        <v>0</v>
      </c>
      <c r="G22" s="13">
        <f t="shared" si="11"/>
        <v>50613.337500000001</v>
      </c>
      <c r="H22" s="13">
        <f t="shared" si="8"/>
        <v>49113.337500000001</v>
      </c>
      <c r="I22" s="14">
        <f t="shared" si="10"/>
        <v>388035.58750000002</v>
      </c>
      <c r="J22" s="14">
        <f t="shared" si="9"/>
        <v>376535.58750000002</v>
      </c>
    </row>
    <row r="23" spans="1:10" ht="66" x14ac:dyDescent="0.25">
      <c r="A23" s="11"/>
      <c r="B23" s="12" t="s">
        <v>282</v>
      </c>
      <c r="C23" s="11" t="s">
        <v>280</v>
      </c>
      <c r="D23" s="13">
        <f>'ĐƠN GIÁ'!N136</f>
        <v>327422.25</v>
      </c>
      <c r="E23" s="13">
        <f>'ĐƠN GIÁ'!N143</f>
        <v>6880</v>
      </c>
      <c r="F23" s="13">
        <v>0</v>
      </c>
      <c r="G23" s="13">
        <f t="shared" si="11"/>
        <v>50145.337500000001</v>
      </c>
      <c r="H23" s="13">
        <f t="shared" si="8"/>
        <v>49113.337500000001</v>
      </c>
      <c r="I23" s="14">
        <f t="shared" si="10"/>
        <v>384447.58750000002</v>
      </c>
      <c r="J23" s="14">
        <f t="shared" si="9"/>
        <v>376535.58750000002</v>
      </c>
    </row>
    <row r="24" spans="1:10" ht="66" x14ac:dyDescent="0.25">
      <c r="A24" s="11">
        <v>7</v>
      </c>
      <c r="B24" s="12" t="s">
        <v>258</v>
      </c>
      <c r="C24" s="11" t="s">
        <v>81</v>
      </c>
      <c r="D24" s="13">
        <f>'ĐƠN GIÁ'!F163</f>
        <v>9379113.5925000012</v>
      </c>
      <c r="E24" s="13">
        <f>'ĐƠN GIÁ'!F170</f>
        <v>327400</v>
      </c>
      <c r="F24" s="13">
        <f>'ĐƠN GIÁ'!F173</f>
        <v>93600</v>
      </c>
      <c r="G24" s="13">
        <f t="shared" si="11"/>
        <v>1470017.0388750001</v>
      </c>
      <c r="H24" s="13">
        <f t="shared" si="8"/>
        <v>1420907.0388750001</v>
      </c>
      <c r="I24" s="14">
        <f t="shared" si="10"/>
        <v>11270130.631375002</v>
      </c>
      <c r="J24" s="14">
        <f t="shared" si="9"/>
        <v>10893620.631375002</v>
      </c>
    </row>
    <row r="25" spans="1:10" ht="66" x14ac:dyDescent="0.25">
      <c r="A25" s="11"/>
      <c r="B25" s="12" t="s">
        <v>281</v>
      </c>
      <c r="C25" s="11" t="s">
        <v>280</v>
      </c>
      <c r="D25" s="13">
        <f>'ĐƠN GIÁ'!J163</f>
        <v>359869.49999999814</v>
      </c>
      <c r="E25" s="13">
        <f>'ĐƠN GIÁ'!J170</f>
        <v>10000</v>
      </c>
      <c r="F25" s="13">
        <v>0</v>
      </c>
      <c r="G25" s="13">
        <f t="shared" si="11"/>
        <v>55480.424999999719</v>
      </c>
      <c r="H25" s="13">
        <f t="shared" si="8"/>
        <v>53980.424999999719</v>
      </c>
      <c r="I25" s="14">
        <f t="shared" si="10"/>
        <v>425349.92499999783</v>
      </c>
      <c r="J25" s="14">
        <f t="shared" si="9"/>
        <v>413849.92499999783</v>
      </c>
    </row>
    <row r="26" spans="1:10" ht="66" x14ac:dyDescent="0.25">
      <c r="A26" s="11"/>
      <c r="B26" s="12" t="s">
        <v>282</v>
      </c>
      <c r="C26" s="11" t="s">
        <v>280</v>
      </c>
      <c r="D26" s="13">
        <f>'ĐƠN GIÁ'!N163</f>
        <v>359869.5</v>
      </c>
      <c r="E26" s="13">
        <f>'ĐƠN GIÁ'!N170</f>
        <v>6400</v>
      </c>
      <c r="F26" s="13">
        <v>0</v>
      </c>
      <c r="G26" s="13">
        <f t="shared" si="11"/>
        <v>54940.424999999996</v>
      </c>
      <c r="H26" s="13">
        <f t="shared" si="8"/>
        <v>53980.424999999996</v>
      </c>
      <c r="I26" s="14">
        <f t="shared" si="10"/>
        <v>421209.92499999999</v>
      </c>
      <c r="J26" s="14">
        <f t="shared" si="9"/>
        <v>413849.92499999999</v>
      </c>
    </row>
    <row r="27" spans="1:10" ht="33" x14ac:dyDescent="0.25">
      <c r="A27" s="11">
        <v>8</v>
      </c>
      <c r="B27" s="12" t="s">
        <v>259</v>
      </c>
      <c r="C27" s="11" t="s">
        <v>285</v>
      </c>
      <c r="D27" s="13">
        <f>'ĐƠN GIÁ'!F186</f>
        <v>355551.06599999999</v>
      </c>
      <c r="E27" s="13">
        <f>'ĐƠN GIÁ'!F193</f>
        <v>12184</v>
      </c>
      <c r="F27" s="13">
        <f>'ĐƠN GIÁ'!F196</f>
        <v>3510</v>
      </c>
      <c r="G27" s="13">
        <f t="shared" si="11"/>
        <v>55686.759899999997</v>
      </c>
      <c r="H27" s="13">
        <f t="shared" si="8"/>
        <v>53859.159899999999</v>
      </c>
      <c r="I27" s="14">
        <f t="shared" si="10"/>
        <v>426931.8259</v>
      </c>
      <c r="J27" s="14">
        <f t="shared" si="9"/>
        <v>412920.22589999996</v>
      </c>
    </row>
    <row r="28" spans="1:10" x14ac:dyDescent="0.25">
      <c r="A28" s="8" t="s">
        <v>39</v>
      </c>
      <c r="B28" s="149" t="s">
        <v>271</v>
      </c>
      <c r="C28" s="150"/>
      <c r="D28" s="150"/>
      <c r="E28" s="150"/>
      <c r="F28" s="150"/>
      <c r="G28" s="150"/>
      <c r="H28" s="150"/>
      <c r="I28" s="150"/>
      <c r="J28" s="151"/>
    </row>
    <row r="29" spans="1:10" ht="66" x14ac:dyDescent="0.25">
      <c r="A29" s="11">
        <v>1</v>
      </c>
      <c r="B29" s="12" t="s">
        <v>272</v>
      </c>
      <c r="C29" s="11" t="s">
        <v>286</v>
      </c>
      <c r="D29" s="13">
        <f>'ĐƠN GIÁ'!F208</f>
        <v>2731468.5</v>
      </c>
      <c r="E29" s="13">
        <f>'ĐƠN GIÁ'!F215</f>
        <v>108991.99999999999</v>
      </c>
      <c r="F29" s="13">
        <f>'ĐƠN GIÁ'!F219</f>
        <v>11700</v>
      </c>
      <c r="G29" s="13">
        <f t="shared" si="11"/>
        <v>427824.07500000001</v>
      </c>
      <c r="H29" s="13">
        <f t="shared" si="8"/>
        <v>411475.27499999997</v>
      </c>
      <c r="I29" s="14">
        <f t="shared" si="10"/>
        <v>3279984.5750000002</v>
      </c>
      <c r="J29" s="14">
        <f t="shared" si="9"/>
        <v>3154643.7749999999</v>
      </c>
    </row>
    <row r="30" spans="1:10" ht="66" x14ac:dyDescent="0.25">
      <c r="A30" s="11">
        <v>2</v>
      </c>
      <c r="B30" s="12" t="s">
        <v>274</v>
      </c>
      <c r="C30" s="15" t="s">
        <v>287</v>
      </c>
      <c r="D30" s="13">
        <f>'ĐƠN GIÁ'!F230</f>
        <v>15468.489000000001</v>
      </c>
      <c r="E30" s="13">
        <f>'ĐƠN GIÁ'!F237</f>
        <v>600.01599999999996</v>
      </c>
      <c r="F30" s="13">
        <f>'ĐƠN GIÁ'!F240</f>
        <v>3.5100000000000002</v>
      </c>
      <c r="G30" s="13">
        <f t="shared" si="11"/>
        <v>2410.8022500000002</v>
      </c>
      <c r="H30" s="13">
        <f t="shared" si="8"/>
        <v>2320.7998500000003</v>
      </c>
      <c r="I30" s="14">
        <f t="shared" si="10"/>
        <v>18482.81725</v>
      </c>
      <c r="J30" s="14">
        <f t="shared" si="9"/>
        <v>17792.798850000003</v>
      </c>
    </row>
    <row r="31" spans="1:10" ht="19.5" customHeight="1" x14ac:dyDescent="0.25">
      <c r="A31" s="8" t="s">
        <v>196</v>
      </c>
      <c r="B31" s="149" t="str">
        <f>'ĐƠN GIÁ'!B246</f>
        <v>XÂY DỰNG VÀ CẬP NHẬT CƠ SỞ DỮ LIỆU HỒ SƠ CÔNG NGHỆ, CHUYÊN GIA CÔNG NGHỆ</v>
      </c>
      <c r="C31" s="150"/>
      <c r="D31" s="150"/>
      <c r="E31" s="150"/>
      <c r="F31" s="150"/>
      <c r="G31" s="150"/>
      <c r="H31" s="150"/>
      <c r="I31" s="150"/>
      <c r="J31" s="151"/>
    </row>
    <row r="32" spans="1:10" ht="49.5" x14ac:dyDescent="0.25">
      <c r="A32" s="11">
        <v>1</v>
      </c>
      <c r="B32" s="12" t="str">
        <f>'ĐƠN GIÁ'!bookmark322</f>
        <v>Xây dựng, cập nhật cơ sở dữ liệu hồ sơ công nghệ</v>
      </c>
      <c r="C32" s="15" t="s">
        <v>209</v>
      </c>
      <c r="D32" s="13">
        <f>'ĐƠN GIÁ'!F252</f>
        <v>722865.73499999999</v>
      </c>
      <c r="E32" s="13">
        <f>'ĐƠN GIÁ'!F259</f>
        <v>24919.999999999996</v>
      </c>
      <c r="F32" s="13">
        <f>'ĐƠN GIÁ'!F262</f>
        <v>11700</v>
      </c>
      <c r="G32" s="13">
        <f>SUM(D32:F32)*15%</f>
        <v>113922.86025</v>
      </c>
      <c r="H32" s="13">
        <f>(D32+F32)*15%</f>
        <v>110184.86025</v>
      </c>
      <c r="I32" s="14">
        <f>SUM(D32:G32)</f>
        <v>873408.59525000001</v>
      </c>
      <c r="J32" s="14">
        <f>D32+F32+H32</f>
        <v>844750.59525000001</v>
      </c>
    </row>
    <row r="33" spans="1:10" ht="49.5" x14ac:dyDescent="0.25">
      <c r="A33" s="11">
        <v>2</v>
      </c>
      <c r="B33" s="12" t="str">
        <f>'ĐƠN GIÁ'!bookmark344</f>
        <v>Xây dựng, cập nhật cơ sở dữ liệu chuyên gia công nghệ</v>
      </c>
      <c r="C33" s="15" t="s">
        <v>210</v>
      </c>
      <c r="D33" s="13">
        <f>'ĐƠN GIÁ'!F273</f>
        <v>650136.69900000002</v>
      </c>
      <c r="E33" s="13">
        <f>'ĐƠN GIÁ'!F280</f>
        <v>22476</v>
      </c>
      <c r="F33" s="13">
        <f>'ĐƠN GIÁ'!F283</f>
        <v>11700</v>
      </c>
      <c r="G33" s="13">
        <f t="shared" ref="G33:G91" si="12">SUM(D33:F33)*15%</f>
        <v>102646.90485000001</v>
      </c>
      <c r="H33" s="13">
        <f t="shared" ref="H33:H90" si="13">(D33+F33)*15%</f>
        <v>99275.504849999998</v>
      </c>
      <c r="I33" s="14">
        <f>SUM(D33:G33)</f>
        <v>786959.60385000007</v>
      </c>
      <c r="J33" s="14">
        <f t="shared" ref="J33:J90" si="14">D33+F33+H33</f>
        <v>761112.20385000005</v>
      </c>
    </row>
    <row r="34" spans="1:10" x14ac:dyDescent="0.25">
      <c r="A34" s="8" t="s">
        <v>197</v>
      </c>
      <c r="B34" s="149" t="str">
        <f>'ĐƠN GIÁ'!B289</f>
        <v>XÂY DỰNG VÀ VẬN HÀNH SÀN GIAO DỊCH CÔNG NGHỆ VÀ THIẾT BỊ</v>
      </c>
      <c r="C34" s="150"/>
      <c r="D34" s="150"/>
      <c r="E34" s="150"/>
      <c r="F34" s="150"/>
      <c r="G34" s="150"/>
      <c r="H34" s="150"/>
      <c r="I34" s="150"/>
      <c r="J34" s="151"/>
    </row>
    <row r="35" spans="1:10" ht="99" x14ac:dyDescent="0.25">
      <c r="A35" s="11">
        <v>1</v>
      </c>
      <c r="B35" s="12" t="str">
        <f>'ĐƠN GIÁ'!bookmark369</f>
        <v>Xử lý và cập nhật thông tin công nghệ và thiết bị chào bán lên Sàn giao dịch công nghệ và thiết bị trực tuyến</v>
      </c>
      <c r="C35" s="15" t="s">
        <v>211</v>
      </c>
      <c r="D35" s="13">
        <f>'ĐƠN GIÁ'!F295</f>
        <v>137546.8425</v>
      </c>
      <c r="E35" s="13">
        <f>'ĐƠN GIÁ'!F302</f>
        <v>5040</v>
      </c>
      <c r="F35" s="13">
        <v>0</v>
      </c>
      <c r="G35" s="13">
        <f>SUM(D35:F35)*15%</f>
        <v>21388.026374999998</v>
      </c>
      <c r="H35" s="13">
        <f>(D35+F35)*15%</f>
        <v>20632.026374999998</v>
      </c>
      <c r="I35" s="14">
        <f>SUM(D35:G35)</f>
        <v>163974.86887499999</v>
      </c>
      <c r="J35" s="14">
        <f>D35+F35+H35</f>
        <v>158178.86887499999</v>
      </c>
    </row>
    <row r="36" spans="1:10" ht="99" x14ac:dyDescent="0.25">
      <c r="A36" s="11">
        <v>2</v>
      </c>
      <c r="B36" s="12" t="str">
        <f>'ĐƠN GIÁ'!bookmark391</f>
        <v>Xử lý và cập nhật thông tin công nghệ và thiết bị tìm mua lên Sàn giao dịch công nghệ và thiết bị trực tuyến</v>
      </c>
      <c r="C36" s="15" t="s">
        <v>211</v>
      </c>
      <c r="D36" s="13">
        <f>'ĐƠN GIÁ'!F312</f>
        <v>128697.5925</v>
      </c>
      <c r="E36" s="13">
        <f>'ĐƠN GIÁ'!F319</f>
        <v>4560.4799999999996</v>
      </c>
      <c r="F36" s="13">
        <v>0</v>
      </c>
      <c r="G36" s="13">
        <f t="shared" si="12"/>
        <v>19988.710875000001</v>
      </c>
      <c r="H36" s="13">
        <f t="shared" si="13"/>
        <v>19304.638875000001</v>
      </c>
      <c r="I36" s="14">
        <f t="shared" ref="I36:I90" si="15">SUM(D36:G36)</f>
        <v>153246.783375</v>
      </c>
      <c r="J36" s="14">
        <f t="shared" si="14"/>
        <v>148002.231375</v>
      </c>
    </row>
    <row r="37" spans="1:10" ht="49.5" x14ac:dyDescent="0.25">
      <c r="A37" s="11">
        <v>3</v>
      </c>
      <c r="B37" s="12" t="str">
        <f>'ĐƠN GIÁ'!bookmark411</f>
        <v>Quản trị nội dung sàn giao dịch công nghệ và thiết bị trực tuyến</v>
      </c>
      <c r="C37" s="15" t="s">
        <v>212</v>
      </c>
      <c r="D37" s="13">
        <f>'ĐƠN GIÁ'!F330</f>
        <v>55218.730049999998</v>
      </c>
      <c r="E37" s="13">
        <f>'ĐƠN GIÁ'!F337</f>
        <v>1954.3999999999999</v>
      </c>
      <c r="F37" s="13">
        <f>'ĐƠN GIÁ'!F340</f>
        <v>234</v>
      </c>
      <c r="G37" s="13">
        <f>SUM(D37:F37)*15%</f>
        <v>8611.0695075000003</v>
      </c>
      <c r="H37" s="13">
        <f>(D37+F37)*15%</f>
        <v>8317.9095074999987</v>
      </c>
      <c r="I37" s="14">
        <f>SUM(D37:G37)</f>
        <v>66018.199557500004</v>
      </c>
      <c r="J37" s="14">
        <f>D37+F37+H37</f>
        <v>63770.639557499999</v>
      </c>
    </row>
    <row r="38" spans="1:10" ht="49.5" x14ac:dyDescent="0.25">
      <c r="A38" s="11">
        <v>4</v>
      </c>
      <c r="B38" s="12" t="str">
        <f>'ĐƠN GIÁ'!B346</f>
        <v>Tổ chức hoạt động giao dịch công nghệ và thiết bị trực tiếp</v>
      </c>
      <c r="C38" s="15" t="s">
        <v>213</v>
      </c>
      <c r="D38" s="13">
        <f>'ĐƠN GIÁ'!F351</f>
        <v>188412.3315</v>
      </c>
      <c r="E38" s="13">
        <f>'ĐƠN GIÁ'!F358</f>
        <v>6987.9999999999991</v>
      </c>
      <c r="F38" s="13">
        <f>'ĐƠN GIÁ'!F361</f>
        <v>4680</v>
      </c>
      <c r="G38" s="13">
        <f t="shared" si="12"/>
        <v>30012.049724999997</v>
      </c>
      <c r="H38" s="13">
        <f t="shared" si="13"/>
        <v>28963.849725</v>
      </c>
      <c r="I38" s="14">
        <f t="shared" si="15"/>
        <v>230092.38122499999</v>
      </c>
      <c r="J38" s="14">
        <f t="shared" si="14"/>
        <v>222056.18122500001</v>
      </c>
    </row>
    <row r="39" spans="1:10" x14ac:dyDescent="0.25">
      <c r="A39" s="8" t="s">
        <v>198</v>
      </c>
      <c r="B39" s="149" t="str">
        <f>'ĐƠN GIÁ'!B367</f>
        <v>TỔ CHỨC TRIỂN LÃM, HỘI CHỢ KHOA HỌC, CÔNG NGHỆ VÀ THIẾT BỊ</v>
      </c>
      <c r="C39" s="150"/>
      <c r="D39" s="150"/>
      <c r="E39" s="150"/>
      <c r="F39" s="150"/>
      <c r="G39" s="150"/>
      <c r="H39" s="150"/>
      <c r="I39" s="150"/>
      <c r="J39" s="151"/>
    </row>
    <row r="40" spans="1:10" ht="49.5" x14ac:dyDescent="0.25">
      <c r="A40" s="16">
        <v>1</v>
      </c>
      <c r="B40" s="12" t="str">
        <f>'ĐƠN GIÁ'!B368</f>
        <v>Tổ chức triển lãm thành tựu khoa học và công nghệ</v>
      </c>
      <c r="C40" s="15" t="s">
        <v>214</v>
      </c>
      <c r="D40" s="13">
        <f>'ĐƠN GIÁ'!F378</f>
        <v>26175078.584999997</v>
      </c>
      <c r="E40" s="13">
        <f>'ĐƠN GIÁ'!F385</f>
        <v>949840</v>
      </c>
      <c r="F40" s="13">
        <f>'ĐƠN GIÁ'!F388</f>
        <v>1228500</v>
      </c>
      <c r="G40" s="13">
        <f t="shared" si="12"/>
        <v>4253012.7877499992</v>
      </c>
      <c r="H40" s="13">
        <f t="shared" si="13"/>
        <v>4110536.7877499992</v>
      </c>
      <c r="I40" s="14">
        <f t="shared" si="15"/>
        <v>32606431.372749995</v>
      </c>
      <c r="J40" s="14">
        <f t="shared" si="14"/>
        <v>31514115.372749995</v>
      </c>
    </row>
    <row r="41" spans="1:10" ht="49.5" x14ac:dyDescent="0.25">
      <c r="A41" s="16"/>
      <c r="B41" s="12" t="s">
        <v>288</v>
      </c>
      <c r="C41" s="15" t="s">
        <v>290</v>
      </c>
      <c r="D41" s="13">
        <f>'ĐƠN GIÁ'!J378</f>
        <v>1308753.9292500056</v>
      </c>
      <c r="E41" s="13">
        <f>'ĐƠN GIÁ'!J385</f>
        <v>47492.000000000116</v>
      </c>
      <c r="F41" s="13">
        <f>'ĐƠN GIÁ'!J388</f>
        <v>61425</v>
      </c>
      <c r="G41" s="13">
        <f t="shared" si="12"/>
        <v>212650.63938750085</v>
      </c>
      <c r="H41" s="13">
        <f t="shared" si="13"/>
        <v>205526.83938750083</v>
      </c>
      <c r="I41" s="14">
        <f t="shared" si="15"/>
        <v>1630321.5686375066</v>
      </c>
      <c r="J41" s="14">
        <f t="shared" si="14"/>
        <v>1575705.7686375065</v>
      </c>
    </row>
    <row r="42" spans="1:10" ht="49.5" x14ac:dyDescent="0.25">
      <c r="A42" s="16"/>
      <c r="B42" s="12" t="s">
        <v>289</v>
      </c>
      <c r="C42" s="15" t="s">
        <v>290</v>
      </c>
      <c r="D42" s="13">
        <f>'ĐƠN GIÁ'!M378</f>
        <v>1308753.9292499982</v>
      </c>
      <c r="E42" s="13">
        <f>'ĐƠN GIÁ'!M385</f>
        <v>47492.000000000116</v>
      </c>
      <c r="F42" s="13">
        <f>'ĐƠN GIÁ'!M388</f>
        <v>61425</v>
      </c>
      <c r="G42" s="13">
        <f t="shared" si="12"/>
        <v>212650.63938749972</v>
      </c>
      <c r="H42" s="13">
        <f t="shared" si="13"/>
        <v>205526.83938749973</v>
      </c>
      <c r="I42" s="14">
        <f t="shared" si="15"/>
        <v>1630321.568637498</v>
      </c>
      <c r="J42" s="14">
        <f t="shared" si="14"/>
        <v>1575705.7686374979</v>
      </c>
    </row>
    <row r="43" spans="1:10" ht="49.5" x14ac:dyDescent="0.25">
      <c r="A43" s="16">
        <v>2</v>
      </c>
      <c r="B43" s="12" t="str">
        <f>'ĐƠN GIÁ'!bookmark497</f>
        <v>Tổ chức triển lãm hình ảnh thành tựu khoa học và công nghệ</v>
      </c>
      <c r="C43" s="15" t="s">
        <v>215</v>
      </c>
      <c r="D43" s="13">
        <f>'ĐƠN GIÁ'!F407</f>
        <v>19027303.380000003</v>
      </c>
      <c r="E43" s="13">
        <f>'ĐƠN GIÁ'!F414</f>
        <v>650400</v>
      </c>
      <c r="F43" s="13">
        <f>'ĐƠN GIÁ'!F417</f>
        <v>678600</v>
      </c>
      <c r="G43" s="13">
        <f t="shared" si="12"/>
        <v>3053445.5070000002</v>
      </c>
      <c r="H43" s="13">
        <f t="shared" si="13"/>
        <v>2955885.5070000002</v>
      </c>
      <c r="I43" s="14">
        <f t="shared" si="15"/>
        <v>23409748.887000002</v>
      </c>
      <c r="J43" s="14">
        <f t="shared" si="14"/>
        <v>22661788.887000002</v>
      </c>
    </row>
    <row r="44" spans="1:10" ht="49.5" x14ac:dyDescent="0.25">
      <c r="A44" s="16"/>
      <c r="B44" s="12" t="s">
        <v>291</v>
      </c>
      <c r="C44" s="15" t="s">
        <v>293</v>
      </c>
      <c r="D44" s="13">
        <f>'ĐƠN GIÁ'!J407</f>
        <v>951365.16899999976</v>
      </c>
      <c r="E44" s="13">
        <f>'ĐƠN GIÁ'!J414</f>
        <v>32520</v>
      </c>
      <c r="F44" s="13">
        <f>'ĐƠN GIÁ'!J417</f>
        <v>33930</v>
      </c>
      <c r="G44" s="13">
        <f t="shared" si="12"/>
        <v>152672.27534999995</v>
      </c>
      <c r="H44" s="13">
        <f t="shared" si="13"/>
        <v>147794.27534999995</v>
      </c>
      <c r="I44" s="14">
        <f t="shared" si="15"/>
        <v>1170487.4443499998</v>
      </c>
      <c r="J44" s="14">
        <f t="shared" si="14"/>
        <v>1133089.4443499998</v>
      </c>
    </row>
    <row r="45" spans="1:10" ht="49.5" x14ac:dyDescent="0.25">
      <c r="A45" s="16"/>
      <c r="B45" s="12" t="s">
        <v>292</v>
      </c>
      <c r="C45" s="15" t="s">
        <v>293</v>
      </c>
      <c r="D45" s="13">
        <f>'ĐƠN GIÁ'!M407</f>
        <v>951365.16900000349</v>
      </c>
      <c r="E45" s="16">
        <f>'ĐƠN GIÁ'!M414</f>
        <v>32520</v>
      </c>
      <c r="F45" s="13">
        <f>'ĐƠN GIÁ'!M417</f>
        <v>33930</v>
      </c>
      <c r="G45" s="13">
        <f t="shared" si="12"/>
        <v>152672.27535000051</v>
      </c>
      <c r="H45" s="13">
        <f t="shared" si="13"/>
        <v>147794.27535000051</v>
      </c>
      <c r="I45" s="14">
        <f t="shared" si="15"/>
        <v>1170487.444350004</v>
      </c>
      <c r="J45" s="14">
        <f t="shared" si="14"/>
        <v>1133089.444350004</v>
      </c>
    </row>
    <row r="46" spans="1:10" ht="49.5" x14ac:dyDescent="0.25">
      <c r="A46" s="16">
        <v>3</v>
      </c>
      <c r="B46" s="12" t="str">
        <f>'ĐƠN GIÁ'!bookmark533</f>
        <v>Tổ chức hội chợ công nghệ và thiết bị (Techmart)</v>
      </c>
      <c r="C46" s="15" t="s">
        <v>216</v>
      </c>
      <c r="D46" s="13">
        <f>'ĐƠN GIÁ'!F435</f>
        <v>89904958.289999992</v>
      </c>
      <c r="E46" s="13">
        <f>'ĐƠN GIÁ'!F442</f>
        <v>3430080.0000000005</v>
      </c>
      <c r="F46" s="13">
        <f>'ĐƠN GIÁ'!F445</f>
        <v>23049000</v>
      </c>
      <c r="G46" s="13">
        <f t="shared" si="12"/>
        <v>17457605.743499998</v>
      </c>
      <c r="H46" s="13">
        <f t="shared" si="13"/>
        <v>16943093.743499998</v>
      </c>
      <c r="I46" s="14">
        <f t="shared" si="15"/>
        <v>133841644.03349999</v>
      </c>
      <c r="J46" s="14">
        <f t="shared" si="14"/>
        <v>129897052.03349999</v>
      </c>
    </row>
    <row r="47" spans="1:10" ht="49.5" x14ac:dyDescent="0.25">
      <c r="A47" s="16"/>
      <c r="B47" s="12" t="s">
        <v>294</v>
      </c>
      <c r="C47" s="15" t="s">
        <v>290</v>
      </c>
      <c r="D47" s="13">
        <f>'ĐƠN GIÁ'!J435</f>
        <v>8990495.8290000111</v>
      </c>
      <c r="E47" s="13">
        <f>'ĐƠN GIÁ'!J442</f>
        <v>343008.00000000047</v>
      </c>
      <c r="F47" s="13">
        <f>'ĐƠN GIÁ'!J445</f>
        <v>2304900</v>
      </c>
      <c r="G47" s="13">
        <f t="shared" si="12"/>
        <v>1745760.5743500015</v>
      </c>
      <c r="H47" s="13">
        <f t="shared" si="13"/>
        <v>1694309.3743500016</v>
      </c>
      <c r="I47" s="14">
        <f t="shared" si="15"/>
        <v>13384164.403350012</v>
      </c>
      <c r="J47" s="14">
        <f t="shared" si="14"/>
        <v>12989705.203350013</v>
      </c>
    </row>
    <row r="48" spans="1:10" ht="49.5" x14ac:dyDescent="0.25">
      <c r="A48" s="16"/>
      <c r="B48" s="12" t="s">
        <v>295</v>
      </c>
      <c r="C48" s="15" t="s">
        <v>290</v>
      </c>
      <c r="D48" s="13">
        <f>'ĐƠN GIÁ'!M435</f>
        <v>8990495.8290000111</v>
      </c>
      <c r="E48" s="13">
        <f>'ĐƠN GIÁ'!M442</f>
        <v>343008</v>
      </c>
      <c r="F48" s="13">
        <f>'ĐƠN GIÁ'!M445</f>
        <v>2304900</v>
      </c>
      <c r="G48" s="13">
        <f t="shared" si="12"/>
        <v>1745760.5743500015</v>
      </c>
      <c r="H48" s="13">
        <f t="shared" si="13"/>
        <v>1694309.3743500016</v>
      </c>
      <c r="I48" s="14">
        <f t="shared" si="15"/>
        <v>13384164.403350012</v>
      </c>
      <c r="J48" s="14">
        <f t="shared" si="14"/>
        <v>12989705.203350013</v>
      </c>
    </row>
    <row r="49" spans="1:10" x14ac:dyDescent="0.25">
      <c r="A49" s="8" t="s">
        <v>199</v>
      </c>
      <c r="B49" s="149" t="str">
        <f>'ĐƠN GIÁ'!B453</f>
        <v>XÂY DỰNG VÀ QUẢN TRỊ HẠ TẦNG THÔNG TIN KHOA HỌC VÀ CÔNG NGHỆ</v>
      </c>
      <c r="C49" s="150"/>
      <c r="D49" s="150"/>
      <c r="E49" s="150"/>
      <c r="F49" s="150"/>
      <c r="G49" s="150"/>
      <c r="H49" s="150"/>
      <c r="I49" s="150"/>
      <c r="J49" s="151"/>
    </row>
    <row r="50" spans="1:10" ht="49.5" x14ac:dyDescent="0.25">
      <c r="A50" s="11">
        <v>1</v>
      </c>
      <c r="B50" s="12" t="str">
        <f>'ĐƠN GIÁ'!B454</f>
        <v>Quản trị thiết bị định tuyến</v>
      </c>
      <c r="C50" s="15" t="s">
        <v>217</v>
      </c>
      <c r="D50" s="13">
        <f>'ĐƠN GIÁ'!F459</f>
        <v>52205884.897500001</v>
      </c>
      <c r="E50" s="13">
        <f>'ĐƠN GIÁ'!F466</f>
        <v>2378320</v>
      </c>
      <c r="F50" s="13">
        <f>'ĐƠN GIÁ'!F469</f>
        <v>35100</v>
      </c>
      <c r="G50" s="13">
        <f t="shared" si="12"/>
        <v>8192895.7346249996</v>
      </c>
      <c r="H50" s="13">
        <f t="shared" si="13"/>
        <v>7836147.7346249996</v>
      </c>
      <c r="I50" s="14">
        <f t="shared" si="15"/>
        <v>62812200.632124998</v>
      </c>
      <c r="J50" s="14">
        <f t="shared" si="14"/>
        <v>60077132.632124998</v>
      </c>
    </row>
    <row r="51" spans="1:10" ht="49.5" x14ac:dyDescent="0.25">
      <c r="A51" s="11">
        <v>2</v>
      </c>
      <c r="B51" s="12" t="str">
        <f>'ĐƠN GIÁ'!B475</f>
        <v>Quản trị thiết bị chuyển mạch</v>
      </c>
      <c r="C51" s="15" t="s">
        <v>218</v>
      </c>
      <c r="D51" s="13">
        <f>'ĐƠN GIÁ'!F480</f>
        <v>23357034.922500003</v>
      </c>
      <c r="E51" s="13">
        <f>'ĐƠN GIÁ'!F487</f>
        <v>1067480</v>
      </c>
      <c r="F51" s="13">
        <f>'ĐƠN GIÁ'!F490</f>
        <v>11700</v>
      </c>
      <c r="G51" s="13">
        <f t="shared" si="12"/>
        <v>3665432.2383750002</v>
      </c>
      <c r="H51" s="13">
        <f t="shared" si="13"/>
        <v>3505310.2383750002</v>
      </c>
      <c r="I51" s="14">
        <f t="shared" si="15"/>
        <v>28101647.160875004</v>
      </c>
      <c r="J51" s="14">
        <f t="shared" si="14"/>
        <v>26874045.160875004</v>
      </c>
    </row>
    <row r="52" spans="1:10" ht="49.5" x14ac:dyDescent="0.25">
      <c r="A52" s="11">
        <v>3</v>
      </c>
      <c r="B52" s="12" t="str">
        <f>'ĐƠN GIÁ'!B496</f>
        <v>Quản trị thiết bị an toàn an ninh</v>
      </c>
      <c r="C52" s="15" t="s">
        <v>219</v>
      </c>
      <c r="D52" s="13">
        <f>'ĐƠN GIÁ'!F501</f>
        <v>37156732.357500002</v>
      </c>
      <c r="E52" s="13">
        <f>'ĐƠN GIÁ'!F508</f>
        <v>1696640</v>
      </c>
      <c r="F52" s="13">
        <f>'ĐƠN GIÁ'!F511</f>
        <v>23400</v>
      </c>
      <c r="G52" s="13">
        <f t="shared" si="12"/>
        <v>5831515.8536250005</v>
      </c>
      <c r="H52" s="13">
        <f t="shared" si="13"/>
        <v>5577019.8536250005</v>
      </c>
      <c r="I52" s="14">
        <f t="shared" si="15"/>
        <v>44708288.211125001</v>
      </c>
      <c r="J52" s="14">
        <f t="shared" si="14"/>
        <v>42757152.211125001</v>
      </c>
    </row>
    <row r="53" spans="1:10" ht="33" x14ac:dyDescent="0.25">
      <c r="A53" s="11">
        <v>4</v>
      </c>
      <c r="B53" s="12" t="str">
        <f>'ĐƠN GIÁ'!bookmark617</f>
        <v>Quản trị máy chủ</v>
      </c>
      <c r="C53" s="15" t="s">
        <v>220</v>
      </c>
      <c r="D53" s="13">
        <f>'ĐƠN GIÁ'!F522</f>
        <v>9251566.4024999999</v>
      </c>
      <c r="E53" s="13">
        <f>'ĐƠN GIÁ'!F529</f>
        <v>414008</v>
      </c>
      <c r="F53" s="13">
        <f>'ĐƠN GIÁ'!F532</f>
        <v>1170</v>
      </c>
      <c r="G53" s="13">
        <f t="shared" si="12"/>
        <v>1450011.660375</v>
      </c>
      <c r="H53" s="13">
        <f t="shared" si="13"/>
        <v>1387910.460375</v>
      </c>
      <c r="I53" s="14">
        <f t="shared" si="15"/>
        <v>11116756.062874999</v>
      </c>
      <c r="J53" s="14">
        <f t="shared" si="14"/>
        <v>10640646.862875</v>
      </c>
    </row>
    <row r="54" spans="1:10" ht="49.5" x14ac:dyDescent="0.25">
      <c r="A54" s="11">
        <v>5</v>
      </c>
      <c r="B54" s="12" t="str">
        <f>'ĐƠN GIÁ'!bookmark642</f>
        <v>Quản trị các thiết bị công nghệ thông tin</v>
      </c>
      <c r="C54" s="15" t="s">
        <v>221</v>
      </c>
      <c r="D54" s="13">
        <f>'ĐƠN GIÁ'!F543</f>
        <v>215272.75499999998</v>
      </c>
      <c r="E54" s="13">
        <f>'ĐƠN GIÁ'!F548</f>
        <v>9248</v>
      </c>
      <c r="F54" s="13">
        <f>'ĐƠN GIÁ'!F551</f>
        <v>2340</v>
      </c>
      <c r="G54" s="13">
        <f t="shared" si="12"/>
        <v>34029.113249999995</v>
      </c>
      <c r="H54" s="13">
        <f t="shared" si="13"/>
        <v>32641.913249999994</v>
      </c>
      <c r="I54" s="14">
        <f t="shared" si="15"/>
        <v>260889.86824999997</v>
      </c>
      <c r="J54" s="14">
        <f t="shared" si="14"/>
        <v>250254.66824999996</v>
      </c>
    </row>
    <row r="55" spans="1:10" ht="49.5" x14ac:dyDescent="0.25">
      <c r="A55" s="11">
        <v>6</v>
      </c>
      <c r="B55" s="12" t="str">
        <f>'ĐƠN GIÁ'!bookmark655</f>
        <v>Tổ chức phục vụ kỹ thuật họp trực tuyến</v>
      </c>
      <c r="C55" s="15" t="s">
        <v>222</v>
      </c>
      <c r="D55" s="13">
        <f>'ĐƠN GIÁ'!F564</f>
        <v>730800.5625</v>
      </c>
      <c r="E55" s="13">
        <f>'ĐƠN GIÁ'!F571</f>
        <v>15720</v>
      </c>
      <c r="F55" s="13">
        <v>0</v>
      </c>
      <c r="G55" s="13">
        <f t="shared" si="12"/>
        <v>111978.08437499999</v>
      </c>
      <c r="H55" s="13">
        <f t="shared" si="13"/>
        <v>109620.08437499999</v>
      </c>
      <c r="I55" s="14">
        <f t="shared" si="15"/>
        <v>858498.64687499998</v>
      </c>
      <c r="J55" s="14">
        <f t="shared" si="14"/>
        <v>840420.64687499998</v>
      </c>
    </row>
    <row r="56" spans="1:10" ht="49.5" x14ac:dyDescent="0.25">
      <c r="A56" s="11"/>
      <c r="B56" s="12" t="s">
        <v>296</v>
      </c>
      <c r="C56" s="15" t="s">
        <v>297</v>
      </c>
      <c r="D56" s="13">
        <f>'ĐƠN GIÁ'!J564</f>
        <v>69687.84375</v>
      </c>
      <c r="E56" s="13">
        <f>'ĐƠN GIÁ'!J571</f>
        <v>1500</v>
      </c>
      <c r="F56" s="13">
        <v>0</v>
      </c>
      <c r="G56" s="13">
        <f t="shared" si="12"/>
        <v>10678.176562499999</v>
      </c>
      <c r="H56" s="13">
        <f t="shared" si="13"/>
        <v>10453.176562499999</v>
      </c>
      <c r="I56" s="14">
        <f t="shared" si="15"/>
        <v>81866.020312499997</v>
      </c>
      <c r="J56" s="14">
        <f t="shared" si="14"/>
        <v>80141.020312499997</v>
      </c>
    </row>
    <row r="57" spans="1:10" ht="43.15" customHeight="1" x14ac:dyDescent="0.25">
      <c r="A57" s="8" t="s">
        <v>200</v>
      </c>
      <c r="B57" s="152" t="str">
        <f>'ĐƠN GIÁ'!B577</f>
        <v>XÂY DỰNG VÀ VẬN HÀNH HỆ THỐNG THÔNG TIN KHOA HỌC VÀ CÔNG NGHỆ, CỔNG THÔNG TIN KHOA HỌC VÀ CÔNG NGHỆ</v>
      </c>
      <c r="C57" s="153"/>
      <c r="D57" s="153"/>
      <c r="E57" s="153"/>
      <c r="F57" s="153"/>
      <c r="G57" s="153"/>
      <c r="H57" s="153"/>
      <c r="I57" s="153"/>
      <c r="J57" s="154"/>
    </row>
    <row r="58" spans="1:10" ht="49.5" x14ac:dyDescent="0.25">
      <c r="A58" s="11">
        <v>1</v>
      </c>
      <c r="B58" s="12" t="str">
        <f>'ĐƠN GIÁ'!B579</f>
        <v>Xây dựng và vận hành hệ thống thông tin khoa học và công nghệ</v>
      </c>
      <c r="C58" s="15" t="s">
        <v>207</v>
      </c>
      <c r="D58" s="13">
        <f>'ĐƠN GIÁ'!F584</f>
        <v>215129898.60750002</v>
      </c>
      <c r="E58" s="13">
        <f>'ĐƠN GIÁ'!F591</f>
        <v>9626200</v>
      </c>
      <c r="F58" s="13">
        <f>'ĐƠN GIÁ'!F594</f>
        <v>93600</v>
      </c>
      <c r="G58" s="13">
        <f t="shared" si="12"/>
        <v>33727454.791125</v>
      </c>
      <c r="H58" s="13">
        <f t="shared" si="13"/>
        <v>32283524.791125</v>
      </c>
      <c r="I58" s="14">
        <f t="shared" si="15"/>
        <v>258577153.39862502</v>
      </c>
      <c r="J58" s="14">
        <f t="shared" si="14"/>
        <v>247507023.39862502</v>
      </c>
    </row>
    <row r="59" spans="1:10" ht="49.5" x14ac:dyDescent="0.25">
      <c r="A59" s="11">
        <v>2</v>
      </c>
      <c r="B59" s="12" t="str">
        <f>'ĐƠN GIÁ'!bookmark696</f>
        <v>Vận hành và phát triển Cổng thông tin khoa học và công nghệ</v>
      </c>
      <c r="C59" s="15" t="s">
        <v>208</v>
      </c>
      <c r="D59" s="13">
        <f>'ĐƠN GIÁ'!F605</f>
        <v>8423571.5775000006</v>
      </c>
      <c r="E59" s="13">
        <f>'ĐƠN GIÁ'!F612</f>
        <v>359040</v>
      </c>
      <c r="F59" s="13">
        <f>'ĐƠN GIÁ'!F615</f>
        <v>58500</v>
      </c>
      <c r="G59" s="13">
        <f t="shared" si="12"/>
        <v>1326166.7366250001</v>
      </c>
      <c r="H59" s="13">
        <f t="shared" si="13"/>
        <v>1272310.7366250001</v>
      </c>
      <c r="I59" s="14">
        <f t="shared" si="15"/>
        <v>10167278.314125001</v>
      </c>
      <c r="J59" s="14">
        <f t="shared" si="14"/>
        <v>9754382.3141250014</v>
      </c>
    </row>
    <row r="60" spans="1:10" x14ac:dyDescent="0.25">
      <c r="A60" s="8" t="s">
        <v>201</v>
      </c>
      <c r="B60" s="149" t="str">
        <f>'ĐƠN GIÁ'!B621</f>
        <v>XÂY DỰNG VÀ VẬN HÀNH CƠ SỞ DỮ LIỆU QUỐC GIA VỀ KHOA HỌC VÀ CÔNG NGHỆ</v>
      </c>
      <c r="C60" s="150"/>
      <c r="D60" s="150"/>
      <c r="E60" s="150"/>
      <c r="F60" s="150"/>
      <c r="G60" s="150"/>
      <c r="H60" s="150"/>
      <c r="I60" s="150"/>
      <c r="J60" s="151"/>
    </row>
    <row r="61" spans="1:10" ht="49.5" x14ac:dyDescent="0.25">
      <c r="A61" s="11">
        <v>1</v>
      </c>
      <c r="B61" s="12" t="str">
        <f>'ĐƠN GIÁ'!bookmark723</f>
        <v>Xây dựng cơ sở dữ liệu nhiệm vụ đang tiến hành</v>
      </c>
      <c r="C61" s="15" t="s">
        <v>223</v>
      </c>
      <c r="D61" s="13">
        <f>'ĐƠN GIÁ'!F627</f>
        <v>31757.0085</v>
      </c>
      <c r="E61" s="13">
        <f>'ĐƠN GIÁ'!F634</f>
        <v>278.40000000000003</v>
      </c>
      <c r="F61" s="13"/>
      <c r="G61" s="13">
        <f t="shared" si="12"/>
        <v>4805.311275</v>
      </c>
      <c r="H61" s="13">
        <f t="shared" si="13"/>
        <v>4763.5512749999998</v>
      </c>
      <c r="I61" s="14">
        <f t="shared" si="15"/>
        <v>36840.719775000005</v>
      </c>
      <c r="J61" s="14">
        <f t="shared" si="14"/>
        <v>36520.559775000002</v>
      </c>
    </row>
    <row r="62" spans="1:10" ht="49.5" x14ac:dyDescent="0.25">
      <c r="A62" s="11">
        <v>2</v>
      </c>
      <c r="B62" s="12" t="str">
        <f>'ĐƠN GIÁ'!B640</f>
        <v>Xây dựng cơ sở dữ liệu kết quả nhiệm vụ khoa học và công nghệ</v>
      </c>
      <c r="C62" s="15" t="s">
        <v>223</v>
      </c>
      <c r="D62" s="13">
        <f>'ĐƠN GIÁ'!F645</f>
        <v>21432.8835</v>
      </c>
      <c r="E62" s="13">
        <f>'ĐƠN GIÁ'!F652</f>
        <v>844.80000000000007</v>
      </c>
      <c r="F62" s="13"/>
      <c r="G62" s="13">
        <f t="shared" si="12"/>
        <v>3341.652525</v>
      </c>
      <c r="H62" s="13">
        <f t="shared" si="13"/>
        <v>3214.9325249999997</v>
      </c>
      <c r="I62" s="14">
        <f t="shared" si="15"/>
        <v>25619.336025000001</v>
      </c>
      <c r="J62" s="14">
        <f t="shared" si="14"/>
        <v>24647.816025</v>
      </c>
    </row>
    <row r="63" spans="1:10" ht="66" x14ac:dyDescent="0.25">
      <c r="A63" s="11">
        <v>3</v>
      </c>
      <c r="B63" s="12" t="str">
        <f>'ĐƠN GIÁ'!B658</f>
        <v>Xây dựng cơ sở dữ liệu ứng dụng kết quả nhiệm vụ khoa học và công nghệ</v>
      </c>
      <c r="C63" s="15" t="s">
        <v>223</v>
      </c>
      <c r="D63" s="13">
        <f>'ĐƠN GIÁ'!F663</f>
        <v>27332.3835</v>
      </c>
      <c r="E63" s="13">
        <f>'ĐƠN GIÁ'!F670</f>
        <v>1080</v>
      </c>
      <c r="F63" s="13"/>
      <c r="G63" s="13">
        <f t="shared" si="12"/>
        <v>4261.8575249999994</v>
      </c>
      <c r="H63" s="13">
        <f t="shared" si="13"/>
        <v>4099.8575249999994</v>
      </c>
      <c r="I63" s="14">
        <f t="shared" si="15"/>
        <v>32674.241024999999</v>
      </c>
      <c r="J63" s="14">
        <f t="shared" si="14"/>
        <v>31432.241024999999</v>
      </c>
    </row>
    <row r="64" spans="1:10" ht="66" x14ac:dyDescent="0.25">
      <c r="A64" s="11">
        <v>4</v>
      </c>
      <c r="B64" s="12" t="str">
        <f>'ĐƠN GIÁ'!B675</f>
        <v>Xử lý thông tin nhiệm vụ khoa học và công nghệ nộp trực tiếp tại đơn vị</v>
      </c>
      <c r="C64" s="15" t="s">
        <v>223</v>
      </c>
      <c r="D64" s="13">
        <f>'ĐƠN GIÁ'!F680</f>
        <v>64894.5</v>
      </c>
      <c r="E64" s="13">
        <f>'ĐƠN GIÁ'!F685</f>
        <v>1081.5999999999999</v>
      </c>
      <c r="F64" s="13">
        <f>'ĐƠN GIÁ'!F688</f>
        <v>294</v>
      </c>
      <c r="G64" s="13">
        <f t="shared" si="12"/>
        <v>9940.5150000000012</v>
      </c>
      <c r="H64" s="13">
        <f t="shared" si="13"/>
        <v>9778.2749999999996</v>
      </c>
      <c r="I64" s="14">
        <f t="shared" si="15"/>
        <v>76210.615000000005</v>
      </c>
      <c r="J64" s="14">
        <f t="shared" si="14"/>
        <v>74966.774999999994</v>
      </c>
    </row>
    <row r="65" spans="1:10" ht="66" x14ac:dyDescent="0.25">
      <c r="A65" s="11">
        <v>5</v>
      </c>
      <c r="B65" s="12" t="str">
        <f>'ĐƠN GIÁ'!bookmark767</f>
        <v>Xây dựng và cập nhật cơ sở dữ liệu công bố khoa học và công nghệ Việt Nam</v>
      </c>
      <c r="C65" s="15" t="s">
        <v>223</v>
      </c>
      <c r="D65" s="13">
        <f>'ĐƠN GIÁ'!F700</f>
        <v>15338.7</v>
      </c>
      <c r="E65" s="13">
        <f>'ĐƠN GIÁ'!F705</f>
        <v>1512</v>
      </c>
      <c r="F65" s="13"/>
      <c r="G65" s="13">
        <f t="shared" si="12"/>
        <v>2527.605</v>
      </c>
      <c r="H65" s="13">
        <f t="shared" si="13"/>
        <v>2300.8049999999998</v>
      </c>
      <c r="I65" s="14">
        <f t="shared" si="15"/>
        <v>19378.305</v>
      </c>
      <c r="J65" s="14">
        <f t="shared" si="14"/>
        <v>17639.505000000001</v>
      </c>
    </row>
    <row r="66" spans="1:10" ht="49.5" x14ac:dyDescent="0.25">
      <c r="A66" s="11">
        <v>6</v>
      </c>
      <c r="B66" s="12" t="str">
        <f>'ĐƠN GIÁ'!bookmark785</f>
        <v>Xây dựng và cập nhật cơ sở dữ liệu tổ chức khoa học và công nghệ</v>
      </c>
      <c r="C66" s="15" t="s">
        <v>223</v>
      </c>
      <c r="D66" s="13">
        <f>'ĐƠN GIÁ'!F716</f>
        <v>24382.6335</v>
      </c>
      <c r="E66" s="13">
        <f>'ĐƠN GIÁ'!F723</f>
        <v>960</v>
      </c>
      <c r="F66" s="13"/>
      <c r="G66" s="13">
        <f t="shared" si="12"/>
        <v>3801.3950249999998</v>
      </c>
      <c r="H66" s="13">
        <f t="shared" si="13"/>
        <v>3657.3950249999998</v>
      </c>
      <c r="I66" s="14">
        <f t="shared" si="15"/>
        <v>29144.028525000002</v>
      </c>
      <c r="J66" s="14">
        <f t="shared" si="14"/>
        <v>28040.028525000002</v>
      </c>
    </row>
    <row r="67" spans="1:10" ht="49.5" x14ac:dyDescent="0.25">
      <c r="A67" s="11">
        <v>7</v>
      </c>
      <c r="B67" s="12" t="str">
        <f>'ĐƠN GIÁ'!bookmark800</f>
        <v>Xây dựng và cập nhật cơ sở dữ liệu cán bộ khoa học và công nghệ</v>
      </c>
      <c r="C67" s="15" t="s">
        <v>223</v>
      </c>
      <c r="D67" s="13">
        <f>'ĐƠN GIÁ'!F733</f>
        <v>11303.441999999999</v>
      </c>
      <c r="E67" s="13">
        <f>'ĐƠN GIÁ'!F740</f>
        <v>444</v>
      </c>
      <c r="F67" s="13"/>
      <c r="G67" s="13">
        <f t="shared" si="12"/>
        <v>1762.1162999999999</v>
      </c>
      <c r="H67" s="13">
        <f t="shared" si="13"/>
        <v>1695.5162999999998</v>
      </c>
      <c r="I67" s="14">
        <f t="shared" si="15"/>
        <v>13509.558299999999</v>
      </c>
      <c r="J67" s="14">
        <f t="shared" si="14"/>
        <v>12998.958299999998</v>
      </c>
    </row>
    <row r="68" spans="1:10" x14ac:dyDescent="0.25">
      <c r="A68" s="8" t="s">
        <v>202</v>
      </c>
      <c r="B68" s="149" t="str">
        <f>'ĐƠN GIÁ'!B745</f>
        <v>DỊCH VỤ THỐNG KÊ KHOA HỌC VÀ CÔNG NGHỆ</v>
      </c>
      <c r="C68" s="150"/>
      <c r="D68" s="150"/>
      <c r="E68" s="150"/>
      <c r="F68" s="150"/>
      <c r="G68" s="150"/>
      <c r="H68" s="150"/>
      <c r="I68" s="150"/>
      <c r="J68" s="151"/>
    </row>
    <row r="69" spans="1:10" ht="33" x14ac:dyDescent="0.25">
      <c r="A69" s="11">
        <v>1</v>
      </c>
      <c r="B69" s="12" t="str">
        <f>'ĐƠN GIÁ'!B746</f>
        <v>Điều tra thống kê khoa học và công nghệ</v>
      </c>
      <c r="C69" s="15" t="s">
        <v>224</v>
      </c>
      <c r="D69" s="13">
        <f>'ĐƠN GIÁ'!F751</f>
        <v>338087956.05000001</v>
      </c>
      <c r="E69" s="13">
        <f>'ĐƠN GIÁ'!F758</f>
        <v>10308800</v>
      </c>
      <c r="F69" s="13">
        <f>'ĐƠN GIÁ'!F761</f>
        <v>15912000</v>
      </c>
      <c r="G69" s="13">
        <f t="shared" si="12"/>
        <v>54646313.407499999</v>
      </c>
      <c r="H69" s="13">
        <f t="shared" si="13"/>
        <v>53099993.407499999</v>
      </c>
      <c r="I69" s="14">
        <f t="shared" si="15"/>
        <v>418955069.45749998</v>
      </c>
      <c r="J69" s="14">
        <f t="shared" si="14"/>
        <v>407099949.45749998</v>
      </c>
    </row>
    <row r="70" spans="1:10" ht="49.5" x14ac:dyDescent="0.25">
      <c r="A70" s="11">
        <v>2</v>
      </c>
      <c r="B70" s="12" t="str">
        <f>'ĐƠN GIÁ'!bookmark836</f>
        <v>Báo cáo thống kê cấp quốc gia về khoa học và công nghệ</v>
      </c>
      <c r="C70" s="15" t="s">
        <v>225</v>
      </c>
      <c r="D70" s="13">
        <f>'ĐƠN GIÁ'!F772</f>
        <v>17276685.75</v>
      </c>
      <c r="E70" s="13">
        <f>'ĐƠN GIÁ'!F779</f>
        <v>518680</v>
      </c>
      <c r="F70" s="13">
        <f>'ĐƠN GIÁ'!F782</f>
        <v>4095000</v>
      </c>
      <c r="G70" s="13">
        <f t="shared" si="12"/>
        <v>3283554.8624999998</v>
      </c>
      <c r="H70" s="13">
        <f t="shared" si="13"/>
        <v>3205752.8624999998</v>
      </c>
      <c r="I70" s="14">
        <f t="shared" si="15"/>
        <v>25173920.612500001</v>
      </c>
      <c r="J70" s="14">
        <f t="shared" si="14"/>
        <v>24577438.612500001</v>
      </c>
    </row>
    <row r="71" spans="1:10" ht="66" x14ac:dyDescent="0.25">
      <c r="A71" s="11">
        <v>3</v>
      </c>
      <c r="B71" s="12" t="str">
        <f>'ĐƠN GIÁ'!bookmark849</f>
        <v>Báo cáo hoạt động nghiên cứu phát triển và đổi mới sáng tạo trong doanh nghiệp</v>
      </c>
      <c r="C71" s="15" t="s">
        <v>225</v>
      </c>
      <c r="D71" s="13">
        <f>'ĐƠN GIÁ'!F793</f>
        <v>5716202.5350000001</v>
      </c>
      <c r="E71" s="13">
        <f>'ĐƠN GIÁ'!F800</f>
        <v>205840</v>
      </c>
      <c r="F71" s="13">
        <f>'ĐƠN GIÁ'!F803</f>
        <v>35100</v>
      </c>
      <c r="G71" s="13">
        <f t="shared" si="12"/>
        <v>893571.38025000005</v>
      </c>
      <c r="H71" s="13">
        <f t="shared" si="13"/>
        <v>862695.38025000005</v>
      </c>
      <c r="I71" s="14">
        <f t="shared" si="15"/>
        <v>6850713.9152500005</v>
      </c>
      <c r="J71" s="14">
        <f t="shared" si="14"/>
        <v>6613997.9152500005</v>
      </c>
    </row>
    <row r="72" spans="1:10" x14ac:dyDescent="0.25">
      <c r="A72" s="8" t="s">
        <v>203</v>
      </c>
      <c r="B72" s="149" t="str">
        <f>'ĐƠN GIÁ'!B809</f>
        <v>TRA CỨU VÀ CUNG CẤP THÔNG TIN KHOA HỌC VÀ CÔNG NGHỆ</v>
      </c>
      <c r="C72" s="150"/>
      <c r="D72" s="150"/>
      <c r="E72" s="150"/>
      <c r="F72" s="150"/>
      <c r="G72" s="150"/>
      <c r="H72" s="150"/>
      <c r="I72" s="150"/>
      <c r="J72" s="151"/>
    </row>
    <row r="73" spans="1:10" ht="33" x14ac:dyDescent="0.25">
      <c r="A73" s="11">
        <v>1</v>
      </c>
      <c r="B73" s="12" t="str">
        <f>'ĐƠN GIÁ'!B810</f>
        <v>Tra cứu tài liệu điện tử</v>
      </c>
      <c r="C73" s="15" t="s">
        <v>226</v>
      </c>
      <c r="D73" s="13">
        <f>'ĐƠN GIÁ'!F815</f>
        <v>350225.10000000003</v>
      </c>
      <c r="E73" s="13">
        <f>'ĐƠN GIÁ'!F820</f>
        <v>13832</v>
      </c>
      <c r="F73" s="13">
        <f>'ĐƠN GIÁ'!F823</f>
        <v>5004</v>
      </c>
      <c r="G73" s="13">
        <f t="shared" si="12"/>
        <v>55359.165000000001</v>
      </c>
      <c r="H73" s="13">
        <f t="shared" si="13"/>
        <v>53284.365000000005</v>
      </c>
      <c r="I73" s="14">
        <f t="shared" si="15"/>
        <v>424420.26500000001</v>
      </c>
      <c r="J73" s="14">
        <f t="shared" si="14"/>
        <v>408513.46500000003</v>
      </c>
    </row>
    <row r="74" spans="1:10" ht="49.5" x14ac:dyDescent="0.25">
      <c r="A74" s="11">
        <v>2</v>
      </c>
      <c r="B74" s="12" t="str">
        <f>'ĐƠN GIÁ'!B829</f>
        <v>Tra cứu thông tin về nhiệm vụ khoa học và công nghệ</v>
      </c>
      <c r="C74" s="15" t="s">
        <v>226</v>
      </c>
      <c r="D74" s="13">
        <f>'ĐƠN GIÁ'!F834</f>
        <v>195511.78979999997</v>
      </c>
      <c r="E74" s="13">
        <f>'ĐƠN GIÁ'!F841</f>
        <v>7402.4</v>
      </c>
      <c r="F74" s="13">
        <f>'ĐƠN GIÁ'!F844</f>
        <v>7020</v>
      </c>
      <c r="G74" s="13">
        <f t="shared" si="12"/>
        <v>31490.128469999992</v>
      </c>
      <c r="H74" s="13">
        <f t="shared" si="13"/>
        <v>30379.768469999995</v>
      </c>
      <c r="I74" s="14">
        <f t="shared" si="15"/>
        <v>241424.31826999996</v>
      </c>
      <c r="J74" s="14">
        <f t="shared" si="14"/>
        <v>232911.55826999998</v>
      </c>
    </row>
    <row r="75" spans="1:10" ht="82.5" x14ac:dyDescent="0.25">
      <c r="A75" s="11">
        <v>3</v>
      </c>
      <c r="B75" s="12" t="str">
        <f>'ĐƠN GIÁ'!bookmark887</f>
        <v>Tra cứu thông tin về nhiệm vụ khoa học và công nghệ có nội dung thuộc danh mục bí mật nhà nước</v>
      </c>
      <c r="C75" s="15" t="s">
        <v>226</v>
      </c>
      <c r="D75" s="13">
        <f>'ĐƠN GIÁ'!F855</f>
        <v>271318.005</v>
      </c>
      <c r="E75" s="13">
        <f>'ĐƠN GIÁ'!F862</f>
        <v>10520</v>
      </c>
      <c r="F75" s="13">
        <f>'ĐƠN GIÁ'!F865</f>
        <v>23400</v>
      </c>
      <c r="G75" s="13">
        <f t="shared" si="12"/>
        <v>45785.700749999996</v>
      </c>
      <c r="H75" s="13">
        <f t="shared" si="13"/>
        <v>44207.700749999996</v>
      </c>
      <c r="I75" s="14">
        <f t="shared" si="15"/>
        <v>351023.70575000002</v>
      </c>
      <c r="J75" s="14">
        <f t="shared" si="14"/>
        <v>338925.70575000002</v>
      </c>
    </row>
    <row r="76" spans="1:10" x14ac:dyDescent="0.25">
      <c r="A76" s="8" t="s">
        <v>204</v>
      </c>
      <c r="B76" s="149" t="str">
        <f>'ĐƠN GIÁ'!B871</f>
        <v>XỬ LÝ THÔNG TIN, CẬP NHẬT MỤC LỤC TÀI LIỆU KHOA HỌC VÀ CÔNG NGHỆ</v>
      </c>
      <c r="C76" s="150"/>
      <c r="D76" s="150"/>
      <c r="E76" s="150"/>
      <c r="F76" s="150"/>
      <c r="G76" s="150"/>
      <c r="H76" s="150"/>
      <c r="I76" s="150"/>
      <c r="J76" s="151"/>
    </row>
    <row r="77" spans="1:10" ht="49.5" x14ac:dyDescent="0.25">
      <c r="A77" s="11">
        <v>1</v>
      </c>
      <c r="B77" s="12" t="str">
        <f>'ĐƠN GIÁ'!B872</f>
        <v>Bổ sung nguồn tin khoa học và công nghệ (tài liệu giấy)</v>
      </c>
      <c r="C77" s="15" t="s">
        <v>227</v>
      </c>
      <c r="D77" s="13">
        <f>'ĐƠN GIÁ'!F877</f>
        <v>24397382.25</v>
      </c>
      <c r="E77" s="13">
        <f>'ĐƠN GIÁ'!F884</f>
        <v>759400</v>
      </c>
      <c r="F77" s="13">
        <f>'ĐƠN GIÁ'!F887</f>
        <v>96900</v>
      </c>
      <c r="G77" s="13">
        <f t="shared" si="12"/>
        <v>3788052.3374999999</v>
      </c>
      <c r="H77" s="13">
        <f t="shared" si="13"/>
        <v>3674142.3374999999</v>
      </c>
      <c r="I77" s="14">
        <f t="shared" si="15"/>
        <v>29041734.587499999</v>
      </c>
      <c r="J77" s="14">
        <f t="shared" si="14"/>
        <v>28168424.587499999</v>
      </c>
    </row>
    <row r="78" spans="1:10" ht="49.5" x14ac:dyDescent="0.25">
      <c r="A78" s="11">
        <v>2</v>
      </c>
      <c r="B78" s="12" t="str">
        <f>'ĐƠN GIÁ'!bookmark918</f>
        <v>Bổ sung nguồn tin khoa học và công nghệ (tài liệu điện tử)</v>
      </c>
      <c r="C78" s="15" t="s">
        <v>227</v>
      </c>
      <c r="D78" s="13">
        <f>'ĐƠN GIÁ'!F899</f>
        <v>18716163.75</v>
      </c>
      <c r="E78" s="13">
        <f>'ĐƠN GIÁ'!F906</f>
        <v>647960</v>
      </c>
      <c r="F78" s="13">
        <f>'ĐƠN GIÁ'!F909</f>
        <v>23400</v>
      </c>
      <c r="G78" s="13">
        <f t="shared" si="12"/>
        <v>2908128.5625</v>
      </c>
      <c r="H78" s="13">
        <f t="shared" si="13"/>
        <v>2810934.5625</v>
      </c>
      <c r="I78" s="14">
        <f t="shared" si="15"/>
        <v>22295652.3125</v>
      </c>
      <c r="J78" s="14">
        <f t="shared" si="14"/>
        <v>21550498.3125</v>
      </c>
    </row>
    <row r="79" spans="1:10" ht="66" x14ac:dyDescent="0.25">
      <c r="A79" s="11">
        <v>3</v>
      </c>
      <c r="B79" s="12" t="str">
        <f>'ĐƠN GIÁ'!bookmark935</f>
        <v>Biên mục nguồn tin khoa học và công nghệ và cập nhật phân hệ biên mục tài liệu giấy</v>
      </c>
      <c r="C79" s="15" t="s">
        <v>228</v>
      </c>
      <c r="D79" s="13">
        <f>'ĐƠN GIÁ'!F920</f>
        <v>41296.5</v>
      </c>
      <c r="E79" s="13">
        <f>'ĐƠN GIÁ'!F925</f>
        <v>1680.0000000000002</v>
      </c>
      <c r="F79" s="13"/>
      <c r="G79" s="13">
        <f t="shared" si="12"/>
        <v>6446.4749999999995</v>
      </c>
      <c r="H79" s="13">
        <f t="shared" si="13"/>
        <v>6194.4749999999995</v>
      </c>
      <c r="I79" s="14">
        <f t="shared" si="15"/>
        <v>49422.974999999999</v>
      </c>
      <c r="J79" s="14">
        <f t="shared" si="14"/>
        <v>47490.974999999999</v>
      </c>
    </row>
    <row r="80" spans="1:10" ht="82.5" x14ac:dyDescent="0.25">
      <c r="A80" s="11">
        <v>4</v>
      </c>
      <c r="B80" s="12" t="str">
        <f>'ĐƠN GIÁ'!bookmark948</f>
        <v>Biên mục nguồn tin khoa học và công nghệ và cập nhật phân hệ biên mục tài liệu điện tử</v>
      </c>
      <c r="C80" s="15" t="s">
        <v>228</v>
      </c>
      <c r="D80" s="13">
        <f>'ĐƠN GIÁ'!F935</f>
        <v>29497.5</v>
      </c>
      <c r="E80" s="13">
        <f>'ĐƠN GIÁ'!F940</f>
        <v>1200</v>
      </c>
      <c r="F80" s="13"/>
      <c r="G80" s="13">
        <f t="shared" si="12"/>
        <v>4604.625</v>
      </c>
      <c r="H80" s="13">
        <f t="shared" si="13"/>
        <v>4424.625</v>
      </c>
      <c r="I80" s="14">
        <f t="shared" si="15"/>
        <v>35302.125</v>
      </c>
      <c r="J80" s="14">
        <f t="shared" si="14"/>
        <v>33922.125</v>
      </c>
    </row>
    <row r="81" spans="1:10" x14ac:dyDescent="0.25">
      <c r="A81" s="8" t="s">
        <v>205</v>
      </c>
      <c r="B81" s="149" t="str">
        <f>'ĐƠN GIÁ'!B945</f>
        <v>LƯU GIỮ, BẢO QUẢN TÀI LIỆU KHOA HỌC VÀ CÔNG NGHỆ</v>
      </c>
      <c r="C81" s="150"/>
      <c r="D81" s="150"/>
      <c r="E81" s="150"/>
      <c r="F81" s="150"/>
      <c r="G81" s="150"/>
      <c r="H81" s="150"/>
      <c r="I81" s="150"/>
      <c r="J81" s="151"/>
    </row>
    <row r="82" spans="1:10" ht="49.5" x14ac:dyDescent="0.25">
      <c r="A82" s="11">
        <v>1</v>
      </c>
      <c r="B82" s="12" t="str">
        <f>'ĐƠN GIÁ'!B946</f>
        <v>Tiếp nhận, phân loại và xếp giá tài liệu khoa học công nghệ</v>
      </c>
      <c r="C82" s="15" t="s">
        <v>192</v>
      </c>
      <c r="D82" s="13">
        <f>'ĐƠN GIÁ'!F951</f>
        <v>53685.45</v>
      </c>
      <c r="E82" s="13"/>
      <c r="F82" s="13"/>
      <c r="G82" s="13">
        <f t="shared" si="12"/>
        <v>8052.8174999999992</v>
      </c>
      <c r="H82" s="13">
        <f t="shared" si="13"/>
        <v>8052.8174999999992</v>
      </c>
      <c r="I82" s="14">
        <f t="shared" si="15"/>
        <v>61738.267499999994</v>
      </c>
      <c r="J82" s="14">
        <f t="shared" si="14"/>
        <v>61738.267499999994</v>
      </c>
    </row>
    <row r="83" spans="1:10" ht="49.5" x14ac:dyDescent="0.25">
      <c r="A83" s="11">
        <v>2</v>
      </c>
      <c r="B83" s="12" t="str">
        <f>'ĐƠN GIÁ'!bookmark967</f>
        <v>Lưu giữ và bảo quản tài liệu khoa học và công nghệ</v>
      </c>
      <c r="C83" s="15" t="s">
        <v>192</v>
      </c>
      <c r="D83" s="13">
        <f>'ĐƠN GIÁ'!F964</f>
        <v>38346.75</v>
      </c>
      <c r="E83" s="13">
        <f>'ĐƠN GIÁ'!F969</f>
        <v>208</v>
      </c>
      <c r="F83" s="13">
        <f>'ĐƠN GIÁ'!F971</f>
        <v>1050</v>
      </c>
      <c r="G83" s="13">
        <f t="shared" si="12"/>
        <v>5940.7124999999996</v>
      </c>
      <c r="H83" s="13">
        <f t="shared" si="13"/>
        <v>5909.5124999999998</v>
      </c>
      <c r="I83" s="14">
        <f t="shared" si="15"/>
        <v>45545.462500000001</v>
      </c>
      <c r="J83" s="14">
        <f t="shared" si="14"/>
        <v>45306.262499999997</v>
      </c>
    </row>
    <row r="84" spans="1:10" x14ac:dyDescent="0.25">
      <c r="A84" s="8" t="s">
        <v>206</v>
      </c>
      <c r="B84" s="149" t="str">
        <f>'ĐƠN GIÁ'!B976</f>
        <v>PHỤC VỤ BẠN ĐỌC TẠI CHỖ VÀ TRỰC TUYẾN</v>
      </c>
      <c r="C84" s="150"/>
      <c r="D84" s="150"/>
      <c r="E84" s="150"/>
      <c r="F84" s="150"/>
      <c r="G84" s="150"/>
      <c r="H84" s="150"/>
      <c r="I84" s="150"/>
      <c r="J84" s="151"/>
    </row>
    <row r="85" spans="1:10" x14ac:dyDescent="0.25">
      <c r="A85" s="11">
        <v>1</v>
      </c>
      <c r="B85" s="12" t="str">
        <f>'ĐƠN GIÁ'!bookmark980</f>
        <v>Cấp thẻ bạn đọc tại chỗ</v>
      </c>
      <c r="C85" s="15" t="s">
        <v>193</v>
      </c>
      <c r="D85" s="13">
        <f>'ĐƠN GIÁ'!F982</f>
        <v>20648.25</v>
      </c>
      <c r="E85" s="13">
        <f>'ĐƠN GIÁ'!F987</f>
        <v>320</v>
      </c>
      <c r="F85" s="13">
        <f>'ĐƠN GIÁ'!F990</f>
        <v>21170</v>
      </c>
      <c r="G85" s="13">
        <f t="shared" si="12"/>
        <v>6320.7375000000002</v>
      </c>
      <c r="H85" s="13">
        <f t="shared" si="13"/>
        <v>6272.7375000000002</v>
      </c>
      <c r="I85" s="14">
        <f t="shared" si="15"/>
        <v>48458.987500000003</v>
      </c>
      <c r="J85" s="14">
        <f t="shared" si="14"/>
        <v>48090.987500000003</v>
      </c>
    </row>
    <row r="86" spans="1:10" x14ac:dyDescent="0.25">
      <c r="A86" s="11">
        <v>2</v>
      </c>
      <c r="B86" s="12" t="str">
        <f>'ĐƠN GIÁ'!bookmark994</f>
        <v>Cấp thẻ mượn về</v>
      </c>
      <c r="C86" s="15" t="s">
        <v>193</v>
      </c>
      <c r="D86" s="13">
        <f>'ĐƠN GIÁ'!F1002</f>
        <v>32447.25</v>
      </c>
      <c r="E86" s="13">
        <f>'ĐƠN GIÁ'!F1007</f>
        <v>496</v>
      </c>
      <c r="F86" s="13">
        <f>'ĐƠN GIÁ'!F1010</f>
        <v>21170</v>
      </c>
      <c r="G86" s="13">
        <f t="shared" si="12"/>
        <v>8116.9874999999993</v>
      </c>
      <c r="H86" s="13">
        <f t="shared" si="13"/>
        <v>8042.5874999999996</v>
      </c>
      <c r="I86" s="14">
        <f t="shared" si="15"/>
        <v>62230.237500000003</v>
      </c>
      <c r="J86" s="14">
        <f t="shared" si="14"/>
        <v>61659.837500000001</v>
      </c>
    </row>
    <row r="87" spans="1:10" ht="33" x14ac:dyDescent="0.25">
      <c r="A87" s="11">
        <v>3</v>
      </c>
      <c r="B87" s="12" t="str">
        <f>'ĐƠN GIÁ'!bookmark1009</f>
        <v>Cấp tài khoản bạn đọc từ xa</v>
      </c>
      <c r="C87" s="15" t="s">
        <v>193</v>
      </c>
      <c r="D87" s="13">
        <f>'ĐƠN GIÁ'!F1022</f>
        <v>38346.75</v>
      </c>
      <c r="E87" s="13">
        <f>'ĐƠN GIÁ'!F1027</f>
        <v>1424</v>
      </c>
      <c r="F87" s="13">
        <f>'ĐƠN GIÁ'!F1030</f>
        <v>1170</v>
      </c>
      <c r="G87" s="13">
        <f t="shared" si="12"/>
        <v>6141.1125000000002</v>
      </c>
      <c r="H87" s="13">
        <f t="shared" si="13"/>
        <v>5927.5124999999998</v>
      </c>
      <c r="I87" s="14">
        <f t="shared" si="15"/>
        <v>47081.862500000003</v>
      </c>
      <c r="J87" s="14">
        <f t="shared" si="14"/>
        <v>45444.262499999997</v>
      </c>
    </row>
    <row r="88" spans="1:10" ht="33" x14ac:dyDescent="0.25">
      <c r="A88" s="11">
        <v>4</v>
      </c>
      <c r="B88" s="12" t="str">
        <f>'ĐƠN GIÁ'!bookmark1030</f>
        <v>Gia hạn tài khoản bạn đọc từ xa</v>
      </c>
      <c r="C88" s="15" t="s">
        <v>193</v>
      </c>
      <c r="D88" s="13">
        <f>'ĐƠN GIÁ'!F1041</f>
        <v>26547.75</v>
      </c>
      <c r="E88" s="13">
        <f>'ĐƠN GIÁ'!F1046</f>
        <v>1160</v>
      </c>
      <c r="F88" s="13">
        <f>'ĐƠN GIÁ'!F1049</f>
        <v>234</v>
      </c>
      <c r="G88" s="13">
        <f t="shared" si="12"/>
        <v>4191.2624999999998</v>
      </c>
      <c r="H88" s="13">
        <f t="shared" si="13"/>
        <v>4017.2624999999998</v>
      </c>
      <c r="I88" s="14">
        <f t="shared" si="15"/>
        <v>32133.012500000001</v>
      </c>
      <c r="J88" s="14">
        <f t="shared" si="14"/>
        <v>30799.012500000001</v>
      </c>
    </row>
    <row r="89" spans="1:10" x14ac:dyDescent="0.25">
      <c r="A89" s="11">
        <v>5</v>
      </c>
      <c r="B89" s="12" t="str">
        <f>'ĐƠN GIÁ'!B1055</f>
        <v>Phục vụ bạn đọc tại chỗ</v>
      </c>
      <c r="C89" s="15" t="s">
        <v>194</v>
      </c>
      <c r="D89" s="13">
        <f>'ĐƠN GIÁ'!F1062</f>
        <v>89082450</v>
      </c>
      <c r="E89" s="13">
        <f>'ĐƠN GIÁ'!F1067</f>
        <v>1012800.0000000001</v>
      </c>
      <c r="F89" s="13">
        <f>'ĐƠN GIÁ'!F1069</f>
        <v>5000</v>
      </c>
      <c r="G89" s="13">
        <f t="shared" si="12"/>
        <v>13515037.5</v>
      </c>
      <c r="H89" s="13">
        <f t="shared" si="13"/>
        <v>13363117.5</v>
      </c>
      <c r="I89" s="14">
        <f t="shared" si="15"/>
        <v>103615287.5</v>
      </c>
      <c r="J89" s="14">
        <f t="shared" si="14"/>
        <v>102450567.5</v>
      </c>
    </row>
    <row r="90" spans="1:10" ht="66" x14ac:dyDescent="0.25">
      <c r="A90" s="11"/>
      <c r="B90" s="12" t="s">
        <v>277</v>
      </c>
      <c r="C90" s="15" t="s">
        <v>298</v>
      </c>
      <c r="D90" s="13">
        <f>'ĐƠN GIÁ'!I1062</f>
        <v>17698.5</v>
      </c>
      <c r="E90" s="13">
        <f>'ĐƠN GIÁ'!I1067</f>
        <v>240</v>
      </c>
      <c r="F90" s="13">
        <f>'ĐƠN GIÁ'!I1069</f>
        <v>5000</v>
      </c>
      <c r="G90" s="13">
        <f t="shared" si="12"/>
        <v>3440.7750000000001</v>
      </c>
      <c r="H90" s="13">
        <f t="shared" si="13"/>
        <v>3404.7750000000001</v>
      </c>
      <c r="I90" s="14">
        <f t="shared" si="15"/>
        <v>26379.275000000001</v>
      </c>
      <c r="J90" s="14">
        <f t="shared" si="14"/>
        <v>26103.275000000001</v>
      </c>
    </row>
    <row r="91" spans="1:10" x14ac:dyDescent="0.25">
      <c r="A91" s="11">
        <v>6</v>
      </c>
      <c r="B91" s="17" t="str">
        <f>'ĐƠN GIÁ'!B1075</f>
        <v>Phục vụ bạn đọc từ xa</v>
      </c>
      <c r="C91" s="11" t="s">
        <v>193</v>
      </c>
      <c r="D91" s="13">
        <f>'ĐƠN GIÁ'!F1080</f>
        <v>20648.25</v>
      </c>
      <c r="E91" s="13">
        <f>'ĐƠN GIÁ'!F1085</f>
        <v>840.00000000000011</v>
      </c>
      <c r="F91" s="13"/>
      <c r="G91" s="13">
        <f t="shared" si="12"/>
        <v>3223.2374999999997</v>
      </c>
      <c r="H91" s="13">
        <f t="shared" ref="H91" si="16">(D91+F91)*15%</f>
        <v>3097.2374999999997</v>
      </c>
      <c r="I91" s="14">
        <f t="shared" ref="I91" si="17">SUM(D91:G91)</f>
        <v>24711.487499999999</v>
      </c>
      <c r="J91" s="14">
        <f t="shared" ref="J91" si="18">D91+F91+H91</f>
        <v>23745.487499999999</v>
      </c>
    </row>
  </sheetData>
  <mergeCells count="21">
    <mergeCell ref="B84:J84"/>
    <mergeCell ref="B81:J81"/>
    <mergeCell ref="B68:J68"/>
    <mergeCell ref="B49:J49"/>
    <mergeCell ref="B57:J57"/>
    <mergeCell ref="B60:J60"/>
    <mergeCell ref="B72:J72"/>
    <mergeCell ref="B76:J76"/>
    <mergeCell ref="B7:J7"/>
    <mergeCell ref="B28:J28"/>
    <mergeCell ref="B31:J31"/>
    <mergeCell ref="B34:J34"/>
    <mergeCell ref="B39:J39"/>
    <mergeCell ref="A1:J1"/>
    <mergeCell ref="A2:J2"/>
    <mergeCell ref="I5:J5"/>
    <mergeCell ref="G5:H5"/>
    <mergeCell ref="D5:F5"/>
    <mergeCell ref="A5:A6"/>
    <mergeCell ref="B5:B6"/>
    <mergeCell ref="C5:C6"/>
  </mergeCells>
  <phoneticPr fontId="2" type="noConversion"/>
  <pageMargins left="0.28000000000000003" right="0.24" top="0.4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E2C2-90BC-42AF-9328-82A675386D81}">
  <dimension ref="A1:P1088"/>
  <sheetViews>
    <sheetView topLeftCell="A169" zoomScale="85" zoomScaleNormal="85" workbookViewId="0">
      <selection activeCell="O58" sqref="O58"/>
    </sheetView>
  </sheetViews>
  <sheetFormatPr defaultColWidth="8.85546875" defaultRowHeight="18.75" x14ac:dyDescent="0.3"/>
  <cols>
    <col min="1" max="1" width="6.140625" style="122" customWidth="1"/>
    <col min="2" max="2" width="42.85546875" style="29" customWidth="1"/>
    <col min="3" max="3" width="14" style="29" customWidth="1"/>
    <col min="4" max="4" width="17.85546875" style="29" bestFit="1" customWidth="1"/>
    <col min="5" max="6" width="16.140625" style="123" customWidth="1"/>
    <col min="7" max="7" width="8.85546875" style="29"/>
    <col min="8" max="8" width="19.5703125" style="30" bestFit="1" customWidth="1"/>
    <col min="9" max="9" width="21.5703125" style="30" customWidth="1"/>
    <col min="10" max="10" width="13.5703125" style="30" customWidth="1"/>
    <col min="11" max="11" width="12.5703125" style="30" customWidth="1"/>
    <col min="12" max="12" width="17.42578125" style="30" customWidth="1"/>
    <col min="13" max="13" width="14.85546875" style="30" customWidth="1"/>
    <col min="14" max="14" width="13.85546875" style="30" bestFit="1" customWidth="1"/>
    <col min="15" max="15" width="14.42578125" style="30" customWidth="1"/>
    <col min="16" max="16" width="8.85546875" style="30"/>
    <col min="17" max="16384" width="8.85546875" style="29"/>
  </cols>
  <sheetData>
    <row r="1" spans="1:6" x14ac:dyDescent="0.3">
      <c r="A1" s="28" t="s">
        <v>38</v>
      </c>
      <c r="B1" s="155" t="s">
        <v>229</v>
      </c>
      <c r="C1" s="155"/>
      <c r="D1" s="155"/>
      <c r="E1" s="155"/>
      <c r="F1" s="155"/>
    </row>
    <row r="2" spans="1:6" x14ac:dyDescent="0.3">
      <c r="A2" s="28">
        <v>1</v>
      </c>
      <c r="B2" s="172" t="s">
        <v>78</v>
      </c>
      <c r="C2" s="172"/>
      <c r="D2" s="172"/>
      <c r="E2" s="172"/>
      <c r="F2" s="172"/>
    </row>
    <row r="3" spans="1:6" ht="19.5" x14ac:dyDescent="0.35">
      <c r="A3" s="28"/>
      <c r="B3" s="171" t="s">
        <v>45</v>
      </c>
      <c r="C3" s="171"/>
      <c r="D3" s="171"/>
      <c r="E3" s="171"/>
      <c r="F3" s="171"/>
    </row>
    <row r="4" spans="1:6" x14ac:dyDescent="0.3">
      <c r="A4" s="28"/>
      <c r="B4" s="30"/>
      <c r="C4" s="30"/>
      <c r="D4" s="30"/>
      <c r="E4" s="31"/>
      <c r="F4" s="31"/>
    </row>
    <row r="5" spans="1:6" ht="37.5" x14ac:dyDescent="0.3">
      <c r="A5" s="1" t="s">
        <v>0</v>
      </c>
      <c r="B5" s="1" t="s">
        <v>1</v>
      </c>
      <c r="C5" s="1" t="s">
        <v>2</v>
      </c>
      <c r="D5" s="1" t="s">
        <v>3</v>
      </c>
      <c r="E5" s="32" t="s">
        <v>36</v>
      </c>
      <c r="F5" s="32" t="s">
        <v>27</v>
      </c>
    </row>
    <row r="6" spans="1:6" x14ac:dyDescent="0.3">
      <c r="A6" s="1" t="s">
        <v>38</v>
      </c>
      <c r="B6" s="33" t="s">
        <v>4</v>
      </c>
      <c r="C6" s="34"/>
      <c r="D6" s="35"/>
      <c r="E6" s="36"/>
      <c r="F6" s="37">
        <f>F7+F14+F18</f>
        <v>110266.10900000001</v>
      </c>
    </row>
    <row r="7" spans="1:6" x14ac:dyDescent="0.3">
      <c r="A7" s="1">
        <v>1</v>
      </c>
      <c r="B7" s="33" t="s">
        <v>46</v>
      </c>
      <c r="C7" s="34"/>
      <c r="D7" s="35"/>
      <c r="E7" s="36"/>
      <c r="F7" s="37">
        <f>F8+F11</f>
        <v>104843.34900000002</v>
      </c>
    </row>
    <row r="8" spans="1:6" x14ac:dyDescent="0.3">
      <c r="A8" s="1">
        <v>1.1000000000000001</v>
      </c>
      <c r="B8" s="35" t="s">
        <v>5</v>
      </c>
      <c r="C8" s="34"/>
      <c r="D8" s="35"/>
      <c r="E8" s="36"/>
      <c r="F8" s="36">
        <f>F9+F10</f>
        <v>91177.02900000001</v>
      </c>
    </row>
    <row r="9" spans="1:6" x14ac:dyDescent="0.3">
      <c r="A9" s="1"/>
      <c r="B9" s="35" t="s">
        <v>17</v>
      </c>
      <c r="C9" s="34" t="s">
        <v>13</v>
      </c>
      <c r="D9" s="35">
        <v>0.32</v>
      </c>
      <c r="E9" s="36">
        <f>'NHÂN CÔNG'!G8</f>
        <v>284715</v>
      </c>
      <c r="F9" s="36">
        <f>E9*D9</f>
        <v>91108.800000000003</v>
      </c>
    </row>
    <row r="10" spans="1:6" x14ac:dyDescent="0.3">
      <c r="A10" s="1"/>
      <c r="B10" s="35" t="s">
        <v>18</v>
      </c>
      <c r="C10" s="34" t="s">
        <v>13</v>
      </c>
      <c r="D10" s="35">
        <v>2.0000000000000001E-4</v>
      </c>
      <c r="E10" s="36">
        <f>'NHÂN CÔNG'!G10</f>
        <v>341145</v>
      </c>
      <c r="F10" s="36">
        <f t="shared" ref="F10:F13" si="0">E10*D10</f>
        <v>68.228999999999999</v>
      </c>
    </row>
    <row r="11" spans="1:6" x14ac:dyDescent="0.3">
      <c r="A11" s="1">
        <v>1.2</v>
      </c>
      <c r="B11" s="35" t="s">
        <v>19</v>
      </c>
      <c r="C11" s="34"/>
      <c r="D11" s="35"/>
      <c r="E11" s="36"/>
      <c r="F11" s="36">
        <f>F12+F13</f>
        <v>13666.32</v>
      </c>
    </row>
    <row r="12" spans="1:6" x14ac:dyDescent="0.3">
      <c r="A12" s="1"/>
      <c r="B12" s="35" t="s">
        <v>17</v>
      </c>
      <c r="C12" s="34" t="s">
        <v>13</v>
      </c>
      <c r="D12" s="35">
        <f>D9*15%</f>
        <v>4.8000000000000001E-2</v>
      </c>
      <c r="E12" s="36">
        <f>E9</f>
        <v>284715</v>
      </c>
      <c r="F12" s="36">
        <f t="shared" si="0"/>
        <v>13666.32</v>
      </c>
    </row>
    <row r="13" spans="1:6" x14ac:dyDescent="0.3">
      <c r="A13" s="1"/>
      <c r="B13" s="35" t="s">
        <v>18</v>
      </c>
      <c r="C13" s="34" t="s">
        <v>13</v>
      </c>
      <c r="D13" s="35">
        <v>0</v>
      </c>
      <c r="E13" s="36"/>
      <c r="F13" s="36">
        <f t="shared" si="0"/>
        <v>0</v>
      </c>
    </row>
    <row r="14" spans="1:6" x14ac:dyDescent="0.3">
      <c r="A14" s="1">
        <v>2</v>
      </c>
      <c r="B14" s="33" t="s">
        <v>47</v>
      </c>
      <c r="C14" s="34"/>
      <c r="D14" s="35"/>
      <c r="E14" s="36"/>
      <c r="F14" s="37">
        <f>SUM(F15:F17)</f>
        <v>4252.76</v>
      </c>
    </row>
    <row r="15" spans="1:6" x14ac:dyDescent="0.3">
      <c r="A15" s="1">
        <v>2.1</v>
      </c>
      <c r="B15" s="35" t="s">
        <v>6</v>
      </c>
      <c r="C15" s="34" t="s">
        <v>14</v>
      </c>
      <c r="D15" s="35">
        <v>0.35310000000000002</v>
      </c>
      <c r="E15" s="36">
        <f>'THIẾT BỊ'!F7</f>
        <v>12000</v>
      </c>
      <c r="F15" s="36">
        <f>E15*D15</f>
        <v>4237.2000000000007</v>
      </c>
    </row>
    <row r="16" spans="1:6" x14ac:dyDescent="0.3">
      <c r="A16" s="1">
        <v>2.2000000000000002</v>
      </c>
      <c r="B16" s="35" t="s">
        <v>7</v>
      </c>
      <c r="C16" s="34" t="s">
        <v>14</v>
      </c>
      <c r="D16" s="35">
        <v>2.9999999999999997E-4</v>
      </c>
      <c r="E16" s="36">
        <f>'THIẾT BỊ'!F8</f>
        <v>8000</v>
      </c>
      <c r="F16" s="36">
        <f t="shared" ref="F16:F17" si="1">E16*D16</f>
        <v>2.4</v>
      </c>
    </row>
    <row r="17" spans="1:15" x14ac:dyDescent="0.3">
      <c r="A17" s="1">
        <v>2.2999999999999998</v>
      </c>
      <c r="B17" s="35" t="s">
        <v>8</v>
      </c>
      <c r="C17" s="34" t="s">
        <v>14</v>
      </c>
      <c r="D17" s="35">
        <v>4.7000000000000002E-3</v>
      </c>
      <c r="E17" s="36">
        <f>'THIẾT BỊ'!F12</f>
        <v>2800</v>
      </c>
      <c r="F17" s="36">
        <f t="shared" si="1"/>
        <v>13.16</v>
      </c>
    </row>
    <row r="18" spans="1:15" x14ac:dyDescent="0.3">
      <c r="A18" s="1">
        <v>3</v>
      </c>
      <c r="B18" s="33" t="s">
        <v>48</v>
      </c>
      <c r="C18" s="34"/>
      <c r="D18" s="35"/>
      <c r="E18" s="36"/>
      <c r="F18" s="37">
        <f>SUM(F19:F20)</f>
        <v>1170</v>
      </c>
    </row>
    <row r="19" spans="1:15" x14ac:dyDescent="0.3">
      <c r="A19" s="1">
        <v>3.1</v>
      </c>
      <c r="B19" s="35" t="s">
        <v>9</v>
      </c>
      <c r="C19" s="34" t="s">
        <v>15</v>
      </c>
      <c r="D19" s="35">
        <v>3.0000000000000001E-3</v>
      </c>
      <c r="E19" s="36">
        <f>'VẬT LIỆU'!D5</f>
        <v>90000</v>
      </c>
      <c r="F19" s="36">
        <f>E19*D19</f>
        <v>270</v>
      </c>
    </row>
    <row r="20" spans="1:15" x14ac:dyDescent="0.3">
      <c r="A20" s="1">
        <v>3.1</v>
      </c>
      <c r="B20" s="35" t="s">
        <v>10</v>
      </c>
      <c r="C20" s="34" t="s">
        <v>16</v>
      </c>
      <c r="D20" s="35">
        <v>1E-3</v>
      </c>
      <c r="E20" s="36">
        <f>'VẬT LIỆU'!D6</f>
        <v>900000</v>
      </c>
      <c r="F20" s="36">
        <f>E20*D20</f>
        <v>900</v>
      </c>
    </row>
    <row r="21" spans="1:15" x14ac:dyDescent="0.3">
      <c r="A21" s="1" t="s">
        <v>39</v>
      </c>
      <c r="B21" s="33" t="s">
        <v>11</v>
      </c>
      <c r="C21" s="34" t="s">
        <v>12</v>
      </c>
      <c r="D21" s="35">
        <v>15</v>
      </c>
      <c r="E21" s="36"/>
      <c r="F21" s="37">
        <f>F6*D21%</f>
        <v>16539.91635</v>
      </c>
    </row>
    <row r="22" spans="1:15" x14ac:dyDescent="0.3">
      <c r="A22" s="1"/>
      <c r="B22" s="38" t="s">
        <v>85</v>
      </c>
      <c r="C22" s="34"/>
      <c r="D22" s="35"/>
      <c r="E22" s="36"/>
      <c r="F22" s="37">
        <f>F21+F6</f>
        <v>126806.02535000001</v>
      </c>
    </row>
    <row r="23" spans="1:15" x14ac:dyDescent="0.3">
      <c r="A23" s="28"/>
      <c r="B23" s="39"/>
      <c r="C23" s="40"/>
      <c r="D23" s="30"/>
      <c r="E23" s="41"/>
      <c r="F23" s="42"/>
    </row>
    <row r="24" spans="1:15" x14ac:dyDescent="0.3">
      <c r="A24" s="28">
        <v>2</v>
      </c>
      <c r="B24" s="155" t="s">
        <v>80</v>
      </c>
      <c r="C24" s="155"/>
      <c r="D24" s="155"/>
      <c r="E24" s="155"/>
      <c r="F24" s="155"/>
    </row>
    <row r="25" spans="1:15" ht="19.5" x14ac:dyDescent="0.35">
      <c r="A25" s="28"/>
      <c r="B25" s="171" t="s">
        <v>50</v>
      </c>
      <c r="C25" s="171"/>
      <c r="D25" s="171"/>
      <c r="E25" s="171"/>
      <c r="F25" s="171"/>
    </row>
    <row r="26" spans="1:15" x14ac:dyDescent="0.3">
      <c r="A26" s="28"/>
      <c r="B26" s="157" t="s">
        <v>51</v>
      </c>
      <c r="C26" s="157"/>
      <c r="D26" s="157"/>
      <c r="E26" s="157"/>
      <c r="F26" s="157"/>
    </row>
    <row r="27" spans="1:15" x14ac:dyDescent="0.3">
      <c r="A27" s="28"/>
      <c r="B27" s="170" t="s">
        <v>52</v>
      </c>
      <c r="C27" s="170"/>
      <c r="D27" s="170"/>
      <c r="E27" s="170"/>
      <c r="F27" s="170"/>
    </row>
    <row r="28" spans="1:15" x14ac:dyDescent="0.3">
      <c r="A28" s="28"/>
      <c r="B28" s="30"/>
      <c r="C28" s="30"/>
      <c r="D28" s="30"/>
      <c r="E28" s="31"/>
      <c r="F28" s="31"/>
      <c r="H28" s="35" t="s">
        <v>69</v>
      </c>
      <c r="M28" s="35" t="s">
        <v>70</v>
      </c>
    </row>
    <row r="29" spans="1:15" ht="37.5" x14ac:dyDescent="0.3">
      <c r="A29" s="1" t="s">
        <v>0</v>
      </c>
      <c r="B29" s="1" t="s">
        <v>1</v>
      </c>
      <c r="C29" s="1" t="s">
        <v>2</v>
      </c>
      <c r="D29" s="1" t="s">
        <v>3</v>
      </c>
      <c r="E29" s="32" t="s">
        <v>36</v>
      </c>
      <c r="F29" s="32" t="s">
        <v>27</v>
      </c>
      <c r="H29" s="1" t="s">
        <v>3</v>
      </c>
      <c r="I29" s="32" t="s">
        <v>36</v>
      </c>
      <c r="J29" s="32"/>
      <c r="K29" s="43"/>
      <c r="M29" s="1" t="s">
        <v>3</v>
      </c>
      <c r="N29" s="32" t="s">
        <v>36</v>
      </c>
      <c r="O29" s="43"/>
    </row>
    <row r="30" spans="1:15" x14ac:dyDescent="0.3">
      <c r="A30" s="1" t="s">
        <v>38</v>
      </c>
      <c r="B30" s="33" t="s">
        <v>4</v>
      </c>
      <c r="C30" s="34"/>
      <c r="D30" s="35"/>
      <c r="E30" s="36"/>
      <c r="F30" s="37">
        <f>F31+F38+F40</f>
        <v>7592522.4674999993</v>
      </c>
      <c r="H30" s="35"/>
      <c r="I30" s="43">
        <f>I31+I38</f>
        <v>7958391.9674999993</v>
      </c>
      <c r="J30" s="43"/>
      <c r="K30" s="44"/>
      <c r="M30" s="35"/>
      <c r="N30" s="43">
        <f>N31+N38</f>
        <v>7324732.1549999993</v>
      </c>
      <c r="O30" s="44"/>
    </row>
    <row r="31" spans="1:15" x14ac:dyDescent="0.3">
      <c r="A31" s="1">
        <v>1</v>
      </c>
      <c r="B31" s="33" t="s">
        <v>46</v>
      </c>
      <c r="C31" s="34"/>
      <c r="D31" s="35"/>
      <c r="E31" s="36"/>
      <c r="F31" s="37">
        <f>F32+F35</f>
        <v>7327562.4674999993</v>
      </c>
      <c r="H31" s="35"/>
      <c r="I31" s="43">
        <f>I32+I35</f>
        <v>7687431.9674999993</v>
      </c>
      <c r="J31" s="43"/>
      <c r="K31" s="43">
        <f>I31-F31</f>
        <v>359869.5</v>
      </c>
      <c r="M31" s="35"/>
      <c r="N31" s="43">
        <f>N32+N35</f>
        <v>7065772.1549999993</v>
      </c>
      <c r="O31" s="43">
        <f>F31-N31</f>
        <v>261790.3125</v>
      </c>
    </row>
    <row r="32" spans="1:15" x14ac:dyDescent="0.3">
      <c r="A32" s="1">
        <v>1.1000000000000001</v>
      </c>
      <c r="B32" s="35" t="s">
        <v>5</v>
      </c>
      <c r="C32" s="34"/>
      <c r="D32" s="35"/>
      <c r="E32" s="36"/>
      <c r="F32" s="36">
        <f>F33+F34</f>
        <v>6371793.4499999993</v>
      </c>
      <c r="H32" s="35"/>
      <c r="I32" s="44">
        <f>SUM(I33:I34)</f>
        <v>6684723.4499999993</v>
      </c>
      <c r="J32" s="44"/>
      <c r="K32" s="35"/>
      <c r="M32" s="35"/>
      <c r="N32" s="44">
        <f>SUM(N33:N34)</f>
        <v>6144149.6999999993</v>
      </c>
      <c r="O32" s="33"/>
    </row>
    <row r="33" spans="1:15" x14ac:dyDescent="0.3">
      <c r="A33" s="1"/>
      <c r="B33" s="35" t="s">
        <v>17</v>
      </c>
      <c r="C33" s="34" t="s">
        <v>13</v>
      </c>
      <c r="D33" s="35">
        <v>22.08</v>
      </c>
      <c r="E33" s="36">
        <f>'NHÂN CÔNG'!G8</f>
        <v>284715</v>
      </c>
      <c r="F33" s="36">
        <f>E33*D33</f>
        <v>6286507.1999999993</v>
      </c>
      <c r="H33" s="35">
        <f>D33+0.5</f>
        <v>22.58</v>
      </c>
      <c r="I33" s="44">
        <f>H33*E33</f>
        <v>6428864.6999999993</v>
      </c>
      <c r="J33" s="44"/>
      <c r="K33" s="35"/>
      <c r="M33" s="35">
        <f>D33-0.5</f>
        <v>21.58</v>
      </c>
      <c r="N33" s="44">
        <f>M33*E33</f>
        <v>6144149.6999999993</v>
      </c>
      <c r="O33" s="33"/>
    </row>
    <row r="34" spans="1:15" x14ac:dyDescent="0.3">
      <c r="A34" s="1"/>
      <c r="B34" s="35" t="s">
        <v>18</v>
      </c>
      <c r="C34" s="34" t="s">
        <v>13</v>
      </c>
      <c r="D34" s="35">
        <v>0.25</v>
      </c>
      <c r="E34" s="36">
        <f>'NHÂN CÔNG'!G10</f>
        <v>341145</v>
      </c>
      <c r="F34" s="36">
        <f t="shared" ref="F34" si="2">E34*D34</f>
        <v>85286.25</v>
      </c>
      <c r="H34" s="35">
        <f>D34+0.5</f>
        <v>0.75</v>
      </c>
      <c r="I34" s="44">
        <f t="shared" ref="I34:I37" si="3">H34*E34</f>
        <v>255858.75</v>
      </c>
      <c r="J34" s="44"/>
      <c r="K34" s="35"/>
      <c r="M34" s="35">
        <v>0</v>
      </c>
      <c r="N34" s="44">
        <f t="shared" ref="N34:N39" si="4">M34*E34</f>
        <v>0</v>
      </c>
      <c r="O34" s="33"/>
    </row>
    <row r="35" spans="1:15" x14ac:dyDescent="0.3">
      <c r="A35" s="1">
        <v>1.2</v>
      </c>
      <c r="B35" s="35" t="s">
        <v>19</v>
      </c>
      <c r="C35" s="34"/>
      <c r="D35" s="35"/>
      <c r="E35" s="36"/>
      <c r="F35" s="36">
        <f>F36+F37</f>
        <v>955769.01749999996</v>
      </c>
      <c r="H35" s="35"/>
      <c r="I35" s="44">
        <f>SUM(I36:I37)</f>
        <v>1002708.5174999998</v>
      </c>
      <c r="J35" s="44"/>
      <c r="K35" s="35"/>
      <c r="M35" s="35"/>
      <c r="N35" s="44">
        <f>SUM(N36:N37)</f>
        <v>921622.45499999996</v>
      </c>
      <c r="O35" s="33"/>
    </row>
    <row r="36" spans="1:15" x14ac:dyDescent="0.3">
      <c r="A36" s="1"/>
      <c r="B36" s="35" t="s">
        <v>17</v>
      </c>
      <c r="C36" s="34" t="s">
        <v>13</v>
      </c>
      <c r="D36" s="35">
        <f>D33*15%</f>
        <v>3.3119999999999998</v>
      </c>
      <c r="E36" s="36">
        <f>E33</f>
        <v>284715</v>
      </c>
      <c r="F36" s="36">
        <f t="shared" ref="F36:F37" si="5">E36*D36</f>
        <v>942976.08</v>
      </c>
      <c r="H36" s="35">
        <f>15%*H33</f>
        <v>3.3869999999999996</v>
      </c>
      <c r="I36" s="44">
        <f t="shared" si="3"/>
        <v>964329.70499999984</v>
      </c>
      <c r="J36" s="44"/>
      <c r="K36" s="35"/>
      <c r="M36" s="35">
        <f>15%*M33</f>
        <v>3.2369999999999997</v>
      </c>
      <c r="N36" s="44">
        <f t="shared" si="4"/>
        <v>921622.45499999996</v>
      </c>
      <c r="O36" s="33"/>
    </row>
    <row r="37" spans="1:15" x14ac:dyDescent="0.3">
      <c r="A37" s="1"/>
      <c r="B37" s="35" t="s">
        <v>18</v>
      </c>
      <c r="C37" s="34" t="s">
        <v>13</v>
      </c>
      <c r="D37" s="35">
        <f>15%*D34</f>
        <v>3.7499999999999999E-2</v>
      </c>
      <c r="E37" s="36">
        <f>'NHÂN CÔNG'!G10</f>
        <v>341145</v>
      </c>
      <c r="F37" s="36">
        <f t="shared" si="5"/>
        <v>12792.9375</v>
      </c>
      <c r="H37" s="35">
        <f>15%*H34</f>
        <v>0.11249999999999999</v>
      </c>
      <c r="I37" s="44">
        <f t="shared" si="3"/>
        <v>38378.812499999993</v>
      </c>
      <c r="J37" s="44"/>
      <c r="K37" s="35"/>
      <c r="M37" s="35">
        <v>0</v>
      </c>
      <c r="N37" s="44">
        <f t="shared" si="4"/>
        <v>0</v>
      </c>
      <c r="O37" s="33"/>
    </row>
    <row r="38" spans="1:15" x14ac:dyDescent="0.3">
      <c r="A38" s="1">
        <v>2</v>
      </c>
      <c r="B38" s="33" t="s">
        <v>47</v>
      </c>
      <c r="C38" s="34"/>
      <c r="D38" s="35"/>
      <c r="E38" s="36"/>
      <c r="F38" s="37">
        <f>SUM(F39:F39)</f>
        <v>264960</v>
      </c>
      <c r="H38" s="35"/>
      <c r="I38" s="43">
        <f>SUM(I39)</f>
        <v>270960</v>
      </c>
      <c r="J38" s="43"/>
      <c r="K38" s="43">
        <f>I38-F38</f>
        <v>6000</v>
      </c>
      <c r="M38" s="35"/>
      <c r="N38" s="43">
        <f>SUM(N39)</f>
        <v>258959.99999999997</v>
      </c>
      <c r="O38" s="43">
        <f>F38-N38</f>
        <v>6000.0000000000291</v>
      </c>
    </row>
    <row r="39" spans="1:15" x14ac:dyDescent="0.3">
      <c r="A39" s="1">
        <v>2.1</v>
      </c>
      <c r="B39" s="35" t="s">
        <v>6</v>
      </c>
      <c r="C39" s="34" t="s">
        <v>14</v>
      </c>
      <c r="D39" s="35">
        <v>22.08</v>
      </c>
      <c r="E39" s="36">
        <f>'THIẾT BỊ'!F7</f>
        <v>12000</v>
      </c>
      <c r="F39" s="36">
        <f>E39*D39</f>
        <v>264960</v>
      </c>
      <c r="H39" s="35">
        <f>D39+0.5</f>
        <v>22.58</v>
      </c>
      <c r="I39" s="44">
        <f>H39*E39</f>
        <v>270960</v>
      </c>
      <c r="J39" s="44"/>
      <c r="K39" s="35"/>
      <c r="M39" s="35">
        <f>D39-0.5</f>
        <v>21.58</v>
      </c>
      <c r="N39" s="44">
        <f t="shared" si="4"/>
        <v>258959.99999999997</v>
      </c>
      <c r="O39" s="33"/>
    </row>
    <row r="40" spans="1:15" x14ac:dyDescent="0.3">
      <c r="A40" s="1">
        <v>3</v>
      </c>
      <c r="B40" s="33" t="s">
        <v>48</v>
      </c>
      <c r="C40" s="34"/>
      <c r="D40" s="35"/>
      <c r="E40" s="36"/>
      <c r="F40" s="37">
        <f>SUM(F41:F42)</f>
        <v>0</v>
      </c>
      <c r="H40" s="35"/>
      <c r="I40" s="35"/>
      <c r="J40" s="35"/>
      <c r="K40" s="35"/>
      <c r="M40" s="35"/>
      <c r="N40" s="35"/>
      <c r="O40" s="33"/>
    </row>
    <row r="41" spans="1:15" x14ac:dyDescent="0.3">
      <c r="A41" s="1">
        <v>3.1</v>
      </c>
      <c r="B41" s="35" t="s">
        <v>9</v>
      </c>
      <c r="C41" s="34" t="s">
        <v>15</v>
      </c>
      <c r="D41" s="35">
        <v>0</v>
      </c>
      <c r="E41" s="36">
        <f>'VẬT LIỆU'!D26</f>
        <v>0</v>
      </c>
      <c r="F41" s="36">
        <f>E41*D41</f>
        <v>0</v>
      </c>
      <c r="H41" s="35"/>
      <c r="I41" s="35"/>
      <c r="J41" s="35"/>
      <c r="K41" s="35"/>
      <c r="M41" s="35"/>
      <c r="N41" s="35"/>
      <c r="O41" s="33"/>
    </row>
    <row r="42" spans="1:15" x14ac:dyDescent="0.3">
      <c r="A42" s="1">
        <v>3.1</v>
      </c>
      <c r="B42" s="35" t="s">
        <v>10</v>
      </c>
      <c r="C42" s="34" t="s">
        <v>16</v>
      </c>
      <c r="D42" s="35">
        <v>0</v>
      </c>
      <c r="E42" s="36">
        <f>'VẬT LIỆU'!D27</f>
        <v>0</v>
      </c>
      <c r="F42" s="36">
        <f>E42*D42</f>
        <v>0</v>
      </c>
      <c r="H42" s="35"/>
      <c r="I42" s="35"/>
      <c r="J42" s="35"/>
      <c r="K42" s="35"/>
      <c r="M42" s="35"/>
      <c r="N42" s="35"/>
      <c r="O42" s="33"/>
    </row>
    <row r="43" spans="1:15" x14ac:dyDescent="0.3">
      <c r="A43" s="1" t="s">
        <v>39</v>
      </c>
      <c r="B43" s="33" t="s">
        <v>11</v>
      </c>
      <c r="C43" s="34" t="s">
        <v>12</v>
      </c>
      <c r="D43" s="35">
        <v>15</v>
      </c>
      <c r="E43" s="36"/>
      <c r="F43" s="37">
        <f>F30*D43%</f>
        <v>1138878.3701249999</v>
      </c>
      <c r="H43" s="35"/>
      <c r="I43" s="43">
        <f>15%*I30</f>
        <v>1193758.7951249999</v>
      </c>
      <c r="J43" s="43"/>
      <c r="K43" s="43">
        <f>I43-F43</f>
        <v>54880.425000000047</v>
      </c>
      <c r="M43" s="35"/>
      <c r="N43" s="43">
        <f>15%*N30</f>
        <v>1098709.8232499999</v>
      </c>
      <c r="O43" s="43">
        <f>F43-N43</f>
        <v>40168.546875</v>
      </c>
    </row>
    <row r="44" spans="1:15" x14ac:dyDescent="0.3">
      <c r="A44" s="1"/>
      <c r="B44" s="45" t="s">
        <v>85</v>
      </c>
      <c r="C44" s="34"/>
      <c r="D44" s="35"/>
      <c r="E44" s="36"/>
      <c r="F44" s="37">
        <f>F43+F30</f>
        <v>8731400.8376249988</v>
      </c>
      <c r="I44" s="46">
        <f>I43+I30</f>
        <v>9152150.7626249995</v>
      </c>
      <c r="J44" s="46"/>
      <c r="K44" s="46">
        <f>I44-F44</f>
        <v>420749.92500000075</v>
      </c>
      <c r="N44" s="46">
        <f>N43+N30</f>
        <v>8423441.9782499988</v>
      </c>
      <c r="O44" s="46">
        <f>F44-N44</f>
        <v>307958.859375</v>
      </c>
    </row>
    <row r="45" spans="1:15" ht="37.5" customHeight="1" x14ac:dyDescent="0.3">
      <c r="A45" s="1"/>
      <c r="B45" s="45" t="s">
        <v>281</v>
      </c>
      <c r="C45" s="35"/>
      <c r="D45" s="35"/>
      <c r="E45" s="36"/>
      <c r="F45" s="47">
        <f>K44</f>
        <v>420749.92500000075</v>
      </c>
    </row>
    <row r="46" spans="1:15" ht="39" customHeight="1" x14ac:dyDescent="0.3">
      <c r="A46" s="1"/>
      <c r="B46" s="45" t="s">
        <v>282</v>
      </c>
      <c r="C46" s="35"/>
      <c r="D46" s="35"/>
      <c r="E46" s="36"/>
      <c r="F46" s="47">
        <f>O44</f>
        <v>307958.859375</v>
      </c>
    </row>
    <row r="47" spans="1:15" x14ac:dyDescent="0.3">
      <c r="A47" s="28"/>
      <c r="B47" s="30"/>
      <c r="C47" s="30"/>
      <c r="D47" s="30"/>
      <c r="E47" s="31"/>
      <c r="F47" s="31"/>
    </row>
    <row r="48" spans="1:15" x14ac:dyDescent="0.3">
      <c r="A48" s="28">
        <v>3</v>
      </c>
      <c r="B48" s="155" t="s">
        <v>82</v>
      </c>
      <c r="C48" s="155"/>
      <c r="D48" s="155"/>
      <c r="E48" s="155"/>
      <c r="F48" s="155"/>
    </row>
    <row r="49" spans="1:15" ht="19.5" x14ac:dyDescent="0.35">
      <c r="A49" s="28"/>
      <c r="B49" s="171" t="s">
        <v>50</v>
      </c>
      <c r="C49" s="171"/>
      <c r="D49" s="171"/>
      <c r="E49" s="171"/>
      <c r="F49" s="171"/>
    </row>
    <row r="50" spans="1:15" x14ac:dyDescent="0.3">
      <c r="A50" s="28"/>
      <c r="B50" s="156" t="s">
        <v>83</v>
      </c>
      <c r="C50" s="157"/>
      <c r="D50" s="157"/>
      <c r="E50" s="157"/>
      <c r="F50" s="157"/>
    </row>
    <row r="51" spans="1:15" x14ac:dyDescent="0.3">
      <c r="A51" s="28"/>
      <c r="B51" s="165" t="s">
        <v>52</v>
      </c>
      <c r="C51" s="169"/>
      <c r="D51" s="169"/>
      <c r="E51" s="169"/>
      <c r="F51" s="169"/>
    </row>
    <row r="52" spans="1:15" x14ac:dyDescent="0.3">
      <c r="A52" s="28"/>
      <c r="B52" s="165" t="s">
        <v>84</v>
      </c>
      <c r="C52" s="169"/>
      <c r="D52" s="169"/>
      <c r="E52" s="169"/>
      <c r="F52" s="169"/>
    </row>
    <row r="53" spans="1:15" x14ac:dyDescent="0.3">
      <c r="A53" s="28"/>
      <c r="B53" s="30"/>
      <c r="C53" s="30"/>
      <c r="D53" s="30"/>
      <c r="E53" s="31"/>
      <c r="F53" s="31"/>
    </row>
    <row r="54" spans="1:15" x14ac:dyDescent="0.3">
      <c r="A54" s="28"/>
      <c r="B54" s="30"/>
      <c r="C54" s="30"/>
      <c r="D54" s="30"/>
      <c r="E54" s="31"/>
      <c r="F54" s="31"/>
      <c r="H54" s="35" t="s">
        <v>69</v>
      </c>
      <c r="M54" s="35" t="s">
        <v>70</v>
      </c>
    </row>
    <row r="55" spans="1:15" ht="37.5" x14ac:dyDescent="0.3">
      <c r="A55" s="1" t="s">
        <v>0</v>
      </c>
      <c r="B55" s="1" t="s">
        <v>1</v>
      </c>
      <c r="C55" s="1" t="s">
        <v>2</v>
      </c>
      <c r="D55" s="1" t="s">
        <v>3</v>
      </c>
      <c r="E55" s="32" t="s">
        <v>36</v>
      </c>
      <c r="F55" s="32" t="s">
        <v>27</v>
      </c>
      <c r="H55" s="1" t="s">
        <v>3</v>
      </c>
      <c r="I55" s="32" t="s">
        <v>36</v>
      </c>
      <c r="J55" s="32"/>
      <c r="K55" s="43"/>
      <c r="M55" s="1" t="s">
        <v>3</v>
      </c>
      <c r="N55" s="32" t="s">
        <v>36</v>
      </c>
    </row>
    <row r="56" spans="1:15" x14ac:dyDescent="0.3">
      <c r="A56" s="1" t="s">
        <v>38</v>
      </c>
      <c r="B56" s="33" t="s">
        <v>4</v>
      </c>
      <c r="C56" s="34"/>
      <c r="D56" s="35"/>
      <c r="E56" s="36"/>
      <c r="F56" s="37">
        <f>F57+F64+F67</f>
        <v>6784149.1949999994</v>
      </c>
      <c r="H56" s="35"/>
      <c r="I56" s="43">
        <f>I57+I64+I67</f>
        <v>7154018.6950000003</v>
      </c>
      <c r="J56" s="43"/>
      <c r="K56" s="44"/>
      <c r="M56" s="35"/>
      <c r="N56" s="43">
        <f>N57+N64+N67</f>
        <v>6292646.3624999998</v>
      </c>
    </row>
    <row r="57" spans="1:15" x14ac:dyDescent="0.3">
      <c r="A57" s="1">
        <v>1</v>
      </c>
      <c r="B57" s="33" t="s">
        <v>46</v>
      </c>
      <c r="C57" s="34"/>
      <c r="D57" s="35"/>
      <c r="E57" s="36"/>
      <c r="F57" s="37">
        <f>F58+F61</f>
        <v>6534345.1949999994</v>
      </c>
      <c r="H57" s="35"/>
      <c r="I57" s="43">
        <f>I58+I61</f>
        <v>6894214.6950000003</v>
      </c>
      <c r="J57" s="43"/>
      <c r="K57" s="43">
        <f>I57-F57</f>
        <v>359869.50000000093</v>
      </c>
      <c r="M57" s="35"/>
      <c r="N57" s="43">
        <f>N58+N61</f>
        <v>6048866.3624999998</v>
      </c>
      <c r="O57" s="46">
        <f>F57-N57</f>
        <v>485478.83249999955</v>
      </c>
    </row>
    <row r="58" spans="1:15" x14ac:dyDescent="0.3">
      <c r="A58" s="1">
        <v>1.1000000000000001</v>
      </c>
      <c r="B58" s="35" t="s">
        <v>5</v>
      </c>
      <c r="C58" s="34"/>
      <c r="D58" s="35"/>
      <c r="E58" s="36"/>
      <c r="F58" s="36">
        <f>F59+F60</f>
        <v>5682039.2999999998</v>
      </c>
      <c r="H58" s="35"/>
      <c r="I58" s="44">
        <f>SUM(I59:I60)</f>
        <v>5994969.2999999998</v>
      </c>
      <c r="J58" s="44"/>
      <c r="K58" s="33"/>
      <c r="M58" s="35"/>
      <c r="N58" s="44">
        <f>SUM(N59:N60)</f>
        <v>5369109.2999999998</v>
      </c>
      <c r="O58" s="48"/>
    </row>
    <row r="59" spans="1:15" x14ac:dyDescent="0.3">
      <c r="A59" s="1"/>
      <c r="B59" s="35" t="s">
        <v>17</v>
      </c>
      <c r="C59" s="34" t="s">
        <v>13</v>
      </c>
      <c r="D59" s="35">
        <v>19.25</v>
      </c>
      <c r="E59" s="36">
        <f>'NHÂN CÔNG'!G8</f>
        <v>284715</v>
      </c>
      <c r="F59" s="36">
        <f>E59*D59</f>
        <v>5480763.75</v>
      </c>
      <c r="H59" s="35">
        <f>D59+0.5</f>
        <v>19.75</v>
      </c>
      <c r="I59" s="44">
        <f>H59*E59</f>
        <v>5623121.25</v>
      </c>
      <c r="J59" s="44"/>
      <c r="K59" s="33"/>
      <c r="M59" s="35">
        <f>D59-0.5</f>
        <v>18.75</v>
      </c>
      <c r="N59" s="44">
        <f>M59*E59</f>
        <v>5338406.25</v>
      </c>
      <c r="O59" s="48"/>
    </row>
    <row r="60" spans="1:15" x14ac:dyDescent="0.3">
      <c r="A60" s="1"/>
      <c r="B60" s="35" t="s">
        <v>18</v>
      </c>
      <c r="C60" s="34" t="s">
        <v>13</v>
      </c>
      <c r="D60" s="35">
        <v>0.59</v>
      </c>
      <c r="E60" s="36">
        <f>'NHÂN CÔNG'!G10</f>
        <v>341145</v>
      </c>
      <c r="F60" s="36">
        <f>E60*D60</f>
        <v>201275.55</v>
      </c>
      <c r="H60" s="35">
        <f>D60+0.5</f>
        <v>1.0899999999999999</v>
      </c>
      <c r="I60" s="44">
        <f t="shared" ref="I60" si="6">H60*E60</f>
        <v>371848.04999999993</v>
      </c>
      <c r="J60" s="44"/>
      <c r="K60" s="33"/>
      <c r="M60" s="35">
        <f>D60-0.5</f>
        <v>8.9999999999999969E-2</v>
      </c>
      <c r="N60" s="44">
        <f>M60*E60</f>
        <v>30703.049999999988</v>
      </c>
      <c r="O60" s="48"/>
    </row>
    <row r="61" spans="1:15" x14ac:dyDescent="0.3">
      <c r="A61" s="1">
        <v>1.2</v>
      </c>
      <c r="B61" s="35" t="s">
        <v>19</v>
      </c>
      <c r="C61" s="34"/>
      <c r="D61" s="35"/>
      <c r="E61" s="36"/>
      <c r="F61" s="36">
        <f>F62+F63</f>
        <v>852305.8949999999</v>
      </c>
      <c r="H61" s="35"/>
      <c r="I61" s="44">
        <f>SUM(I62:I63)</f>
        <v>899245.39500000002</v>
      </c>
      <c r="J61" s="44"/>
      <c r="K61" s="33"/>
      <c r="M61" s="35"/>
      <c r="N61" s="44">
        <f>SUM(N62:N63)</f>
        <v>679757.06249999988</v>
      </c>
      <c r="O61" s="48"/>
    </row>
    <row r="62" spans="1:15" x14ac:dyDescent="0.3">
      <c r="A62" s="1"/>
      <c r="B62" s="35" t="s">
        <v>17</v>
      </c>
      <c r="C62" s="34" t="s">
        <v>13</v>
      </c>
      <c r="D62" s="35">
        <f>D59*15%</f>
        <v>2.8874999999999997</v>
      </c>
      <c r="E62" s="36">
        <f>E59</f>
        <v>284715</v>
      </c>
      <c r="F62" s="36">
        <f>E62*D62</f>
        <v>822114.56249999988</v>
      </c>
      <c r="H62" s="35">
        <f>15%*H59</f>
        <v>2.9624999999999999</v>
      </c>
      <c r="I62" s="44">
        <f t="shared" ref="I62:I63" si="7">H62*E62</f>
        <v>843468.1875</v>
      </c>
      <c r="J62" s="44"/>
      <c r="K62" s="33"/>
      <c r="M62" s="35">
        <f>D62-0.5</f>
        <v>2.3874999999999997</v>
      </c>
      <c r="N62" s="44">
        <f>M62*E62</f>
        <v>679757.06249999988</v>
      </c>
      <c r="O62" s="48"/>
    </row>
    <row r="63" spans="1:15" x14ac:dyDescent="0.3">
      <c r="A63" s="1"/>
      <c r="B63" s="35" t="s">
        <v>18</v>
      </c>
      <c r="C63" s="34" t="s">
        <v>13</v>
      </c>
      <c r="D63" s="35">
        <f>15%*D60</f>
        <v>8.8499999999999995E-2</v>
      </c>
      <c r="E63" s="36">
        <f>E60</f>
        <v>341145</v>
      </c>
      <c r="F63" s="36">
        <f>E63*D63</f>
        <v>30191.332499999997</v>
      </c>
      <c r="H63" s="35">
        <f>15%*H60</f>
        <v>0.16349999999999998</v>
      </c>
      <c r="I63" s="44">
        <f t="shared" si="7"/>
        <v>55777.20749999999</v>
      </c>
      <c r="J63" s="44"/>
      <c r="K63" s="33"/>
      <c r="M63" s="35">
        <v>0</v>
      </c>
      <c r="N63" s="44">
        <f t="shared" ref="N63" si="8">M63*E63</f>
        <v>0</v>
      </c>
      <c r="O63" s="48"/>
    </row>
    <row r="64" spans="1:15" x14ac:dyDescent="0.3">
      <c r="A64" s="1">
        <v>2</v>
      </c>
      <c r="B64" s="33" t="s">
        <v>47</v>
      </c>
      <c r="C64" s="34"/>
      <c r="D64" s="35"/>
      <c r="E64" s="36"/>
      <c r="F64" s="37">
        <f>SUM(F65:F66)</f>
        <v>238104</v>
      </c>
      <c r="H64" s="35"/>
      <c r="I64" s="43">
        <f>SUM(I65:I66)</f>
        <v>248104</v>
      </c>
      <c r="J64" s="43"/>
      <c r="K64" s="43">
        <f>I64-F64</f>
        <v>10000</v>
      </c>
      <c r="M64" s="35"/>
      <c r="N64" s="43">
        <f>SUM(N65:N66)</f>
        <v>232080</v>
      </c>
      <c r="O64" s="46">
        <f>F64-N64</f>
        <v>6024</v>
      </c>
    </row>
    <row r="65" spans="1:15" x14ac:dyDescent="0.3">
      <c r="A65" s="1">
        <v>2.1</v>
      </c>
      <c r="B65" s="35" t="s">
        <v>6</v>
      </c>
      <c r="C65" s="34" t="s">
        <v>14</v>
      </c>
      <c r="D65" s="35">
        <v>19.84</v>
      </c>
      <c r="E65" s="36">
        <f>'THIẾT BỊ'!F7</f>
        <v>12000</v>
      </c>
      <c r="F65" s="36">
        <f>E65*D65</f>
        <v>238080</v>
      </c>
      <c r="H65" s="35">
        <f>D65+0.5</f>
        <v>20.34</v>
      </c>
      <c r="I65" s="44">
        <f>H65*E65</f>
        <v>244080</v>
      </c>
      <c r="J65" s="44"/>
      <c r="K65" s="33"/>
      <c r="M65" s="35">
        <f>D65-0.5</f>
        <v>19.34</v>
      </c>
      <c r="N65" s="44">
        <f t="shared" ref="N65" si="9">M65*E65</f>
        <v>232080</v>
      </c>
      <c r="O65" s="48"/>
    </row>
    <row r="66" spans="1:15" x14ac:dyDescent="0.3">
      <c r="A66" s="1">
        <v>2.2000000000000002</v>
      </c>
      <c r="B66" s="35" t="s">
        <v>7</v>
      </c>
      <c r="C66" s="34" t="s">
        <v>14</v>
      </c>
      <c r="D66" s="35">
        <v>3.0000000000000001E-3</v>
      </c>
      <c r="E66" s="36">
        <f>'THIẾT BỊ'!F8</f>
        <v>8000</v>
      </c>
      <c r="F66" s="36">
        <f>E66*D66</f>
        <v>24</v>
      </c>
      <c r="H66" s="35">
        <f>D66+0.5</f>
        <v>0.503</v>
      </c>
      <c r="I66" s="44">
        <f>E66*H66</f>
        <v>4024</v>
      </c>
      <c r="J66" s="44"/>
      <c r="K66" s="33"/>
      <c r="M66" s="35">
        <v>0</v>
      </c>
      <c r="N66" s="44"/>
      <c r="O66" s="48"/>
    </row>
    <row r="67" spans="1:15" x14ac:dyDescent="0.3">
      <c r="A67" s="1">
        <v>3</v>
      </c>
      <c r="B67" s="33" t="s">
        <v>48</v>
      </c>
      <c r="C67" s="34"/>
      <c r="D67" s="35"/>
      <c r="E67" s="36"/>
      <c r="F67" s="37">
        <f>SUM(F68:F69)</f>
        <v>11700</v>
      </c>
      <c r="H67" s="35"/>
      <c r="I67" s="43">
        <f>SUM(I68:I69)</f>
        <v>11700</v>
      </c>
      <c r="J67" s="43"/>
      <c r="K67" s="43">
        <f>I67-F67</f>
        <v>0</v>
      </c>
      <c r="M67" s="35"/>
      <c r="N67" s="43">
        <f>SUM(N68:N69)</f>
        <v>11700</v>
      </c>
      <c r="O67" s="46">
        <f>F67-N67</f>
        <v>0</v>
      </c>
    </row>
    <row r="68" spans="1:15" x14ac:dyDescent="0.3">
      <c r="A68" s="1">
        <v>3.1</v>
      </c>
      <c r="B68" s="35" t="s">
        <v>9</v>
      </c>
      <c r="C68" s="34" t="s">
        <v>15</v>
      </c>
      <c r="D68" s="35">
        <v>0.03</v>
      </c>
      <c r="E68" s="36">
        <f>'VẬT LIỆU'!D5</f>
        <v>90000</v>
      </c>
      <c r="F68" s="36">
        <f>E68*D68</f>
        <v>2700</v>
      </c>
      <c r="H68" s="35"/>
      <c r="I68" s="44">
        <f>F68</f>
        <v>2700</v>
      </c>
      <c r="J68" s="44"/>
      <c r="K68" s="33"/>
      <c r="M68" s="35"/>
      <c r="N68" s="44">
        <f>I68</f>
        <v>2700</v>
      </c>
      <c r="O68" s="48"/>
    </row>
    <row r="69" spans="1:15" x14ac:dyDescent="0.3">
      <c r="A69" s="1">
        <v>3.1</v>
      </c>
      <c r="B69" s="35" t="s">
        <v>10</v>
      </c>
      <c r="C69" s="34" t="s">
        <v>16</v>
      </c>
      <c r="D69" s="35">
        <v>0.01</v>
      </c>
      <c r="E69" s="36">
        <f>'VẬT LIỆU'!D6</f>
        <v>900000</v>
      </c>
      <c r="F69" s="36">
        <f>E69*D69</f>
        <v>9000</v>
      </c>
      <c r="H69" s="35"/>
      <c r="I69" s="44">
        <f>F69</f>
        <v>9000</v>
      </c>
      <c r="J69" s="44"/>
      <c r="K69" s="33"/>
      <c r="M69" s="35"/>
      <c r="N69" s="44">
        <f>I69</f>
        <v>9000</v>
      </c>
      <c r="O69" s="48"/>
    </row>
    <row r="70" spans="1:15" x14ac:dyDescent="0.3">
      <c r="A70" s="1" t="s">
        <v>39</v>
      </c>
      <c r="B70" s="33" t="s">
        <v>11</v>
      </c>
      <c r="C70" s="34" t="s">
        <v>12</v>
      </c>
      <c r="D70" s="35">
        <v>15</v>
      </c>
      <c r="E70" s="36"/>
      <c r="F70" s="37">
        <f>F56*D70%</f>
        <v>1017622.3792499999</v>
      </c>
      <c r="H70" s="35"/>
      <c r="I70" s="43">
        <f>15%*I56</f>
        <v>1073102.80425</v>
      </c>
      <c r="J70" s="43"/>
      <c r="K70" s="43">
        <f>I70-F70</f>
        <v>55480.425000000163</v>
      </c>
      <c r="M70" s="35"/>
      <c r="N70" s="43">
        <f>15%*N56</f>
        <v>943896.95437499997</v>
      </c>
      <c r="O70" s="46">
        <f>F70-N70</f>
        <v>73725.42487499991</v>
      </c>
    </row>
    <row r="71" spans="1:15" x14ac:dyDescent="0.3">
      <c r="A71" s="1"/>
      <c r="B71" s="49" t="s">
        <v>85</v>
      </c>
      <c r="C71" s="34"/>
      <c r="D71" s="35"/>
      <c r="E71" s="36"/>
      <c r="F71" s="37">
        <f>F70+F56</f>
        <v>7801771.5742499996</v>
      </c>
      <c r="I71" s="46">
        <f>I70+I56</f>
        <v>8227121.4992500003</v>
      </c>
      <c r="J71" s="46"/>
      <c r="K71" s="46">
        <f>I71-F71</f>
        <v>425349.92500000075</v>
      </c>
      <c r="N71" s="46">
        <f>N70+N56</f>
        <v>7236543.3168749996</v>
      </c>
      <c r="O71" s="46">
        <f>F71-N71</f>
        <v>565228.25737500004</v>
      </c>
    </row>
    <row r="72" spans="1:15" ht="45.95" customHeight="1" x14ac:dyDescent="0.3">
      <c r="A72" s="1"/>
      <c r="B72" s="45" t="s">
        <v>281</v>
      </c>
      <c r="C72" s="35"/>
      <c r="D72" s="35"/>
      <c r="E72" s="36"/>
      <c r="F72" s="47">
        <f>K71</f>
        <v>425349.92500000075</v>
      </c>
    </row>
    <row r="73" spans="1:15" ht="40.9" customHeight="1" x14ac:dyDescent="0.3">
      <c r="A73" s="1"/>
      <c r="B73" s="45" t="s">
        <v>282</v>
      </c>
      <c r="C73" s="35"/>
      <c r="D73" s="35"/>
      <c r="E73" s="36"/>
      <c r="F73" s="47">
        <f>O71</f>
        <v>565228.25737500004</v>
      </c>
    </row>
    <row r="74" spans="1:15" x14ac:dyDescent="0.3">
      <c r="A74" s="28"/>
      <c r="B74" s="50"/>
      <c r="C74" s="30"/>
      <c r="D74" s="30"/>
      <c r="E74" s="41"/>
      <c r="F74" s="51"/>
    </row>
    <row r="75" spans="1:15" x14ac:dyDescent="0.3">
      <c r="A75" s="28">
        <v>4</v>
      </c>
      <c r="B75" s="167" t="s">
        <v>245</v>
      </c>
      <c r="C75" s="167"/>
      <c r="D75" s="167"/>
      <c r="E75" s="167"/>
      <c r="F75" s="167"/>
      <c r="G75" s="30"/>
    </row>
    <row r="76" spans="1:15" ht="19.5" x14ac:dyDescent="0.3">
      <c r="A76" s="28"/>
      <c r="B76" s="52" t="s">
        <v>246</v>
      </c>
      <c r="C76" s="22"/>
      <c r="D76" s="22"/>
      <c r="E76" s="22"/>
      <c r="F76" s="22"/>
      <c r="G76" s="30"/>
    </row>
    <row r="77" spans="1:15" ht="23.45" customHeight="1" x14ac:dyDescent="0.3">
      <c r="A77" s="28"/>
      <c r="B77" s="156" t="s">
        <v>261</v>
      </c>
      <c r="C77" s="157"/>
      <c r="D77" s="157"/>
      <c r="E77" s="157"/>
      <c r="F77" s="157"/>
      <c r="G77" s="30"/>
    </row>
    <row r="78" spans="1:15" ht="38.65" customHeight="1" x14ac:dyDescent="0.3">
      <c r="A78" s="28"/>
      <c r="B78" s="156" t="s">
        <v>260</v>
      </c>
      <c r="C78" s="157"/>
      <c r="D78" s="157"/>
      <c r="E78" s="157"/>
      <c r="F78" s="157"/>
      <c r="G78" s="30"/>
    </row>
    <row r="79" spans="1:15" ht="39.4" customHeight="1" x14ac:dyDescent="0.3">
      <c r="A79" s="28"/>
      <c r="B79" s="156" t="s">
        <v>262</v>
      </c>
      <c r="C79" s="157"/>
      <c r="D79" s="157"/>
      <c r="E79" s="157"/>
      <c r="F79" s="157"/>
      <c r="G79" s="30"/>
    </row>
    <row r="80" spans="1:15" x14ac:dyDescent="0.3">
      <c r="A80" s="28"/>
      <c r="B80" s="30"/>
      <c r="C80" s="30"/>
      <c r="D80" s="30"/>
      <c r="E80" s="31"/>
      <c r="F80" s="31" t="s">
        <v>247</v>
      </c>
      <c r="G80" s="30"/>
      <c r="H80" s="35" t="s">
        <v>69</v>
      </c>
      <c r="L80" s="35" t="s">
        <v>70</v>
      </c>
    </row>
    <row r="81" spans="1:14" ht="37.5" x14ac:dyDescent="0.3">
      <c r="A81" s="1" t="s">
        <v>0</v>
      </c>
      <c r="B81" s="1" t="s">
        <v>1</v>
      </c>
      <c r="C81" s="1" t="s">
        <v>2</v>
      </c>
      <c r="D81" s="1" t="s">
        <v>3</v>
      </c>
      <c r="E81" s="32" t="s">
        <v>36</v>
      </c>
      <c r="F81" s="32" t="s">
        <v>27</v>
      </c>
      <c r="G81" s="30"/>
      <c r="H81" s="1" t="s">
        <v>3</v>
      </c>
      <c r="I81" s="32" t="s">
        <v>36</v>
      </c>
      <c r="J81" s="43"/>
      <c r="L81" s="1" t="s">
        <v>3</v>
      </c>
      <c r="M81" s="32" t="s">
        <v>36</v>
      </c>
    </row>
    <row r="82" spans="1:14" x14ac:dyDescent="0.3">
      <c r="A82" s="1" t="s">
        <v>38</v>
      </c>
      <c r="B82" s="33" t="s">
        <v>4</v>
      </c>
      <c r="C82" s="34"/>
      <c r="D82" s="35"/>
      <c r="E82" s="36"/>
      <c r="F82" s="37">
        <f>F83+F90+F93</f>
        <v>16589321.654999999</v>
      </c>
      <c r="G82" s="30"/>
      <c r="H82" s="35"/>
      <c r="I82" s="43">
        <f>I83+I90+I93</f>
        <v>16700282.504999999</v>
      </c>
      <c r="J82" s="44"/>
      <c r="L82" s="35"/>
      <c r="M82" s="43">
        <f>M83+M90+M93</f>
        <v>16478840.805</v>
      </c>
    </row>
    <row r="83" spans="1:14" x14ac:dyDescent="0.3">
      <c r="A83" s="1">
        <v>1</v>
      </c>
      <c r="B83" s="33" t="s">
        <v>46</v>
      </c>
      <c r="C83" s="34"/>
      <c r="D83" s="35"/>
      <c r="E83" s="36"/>
      <c r="F83" s="37">
        <f>F84+F87</f>
        <v>15684941.654999999</v>
      </c>
      <c r="G83" s="30"/>
      <c r="H83" s="35"/>
      <c r="I83" s="43">
        <f>I84+I87</f>
        <v>15792902.504999999</v>
      </c>
      <c r="J83" s="43">
        <f>I83-F83</f>
        <v>107960.84999999963</v>
      </c>
      <c r="L83" s="35"/>
      <c r="M83" s="43">
        <f>M84+M87</f>
        <v>15576980.805</v>
      </c>
      <c r="N83" s="46">
        <f>F83-M83</f>
        <v>107960.84999999963</v>
      </c>
    </row>
    <row r="84" spans="1:14" x14ac:dyDescent="0.3">
      <c r="A84" s="1" t="s">
        <v>142</v>
      </c>
      <c r="B84" s="35" t="s">
        <v>5</v>
      </c>
      <c r="C84" s="34"/>
      <c r="D84" s="35"/>
      <c r="E84" s="36"/>
      <c r="F84" s="36">
        <f>F85+F86</f>
        <v>13639079.699999999</v>
      </c>
      <c r="G84" s="30"/>
      <c r="H84" s="35"/>
      <c r="I84" s="44">
        <f>SUM(I85:I86)</f>
        <v>13732958.699999999</v>
      </c>
      <c r="J84" s="33"/>
      <c r="L84" s="35"/>
      <c r="M84" s="44">
        <f>SUM(M85:M86)</f>
        <v>13545200.699999999</v>
      </c>
      <c r="N84" s="48"/>
    </row>
    <row r="85" spans="1:14" x14ac:dyDescent="0.3">
      <c r="A85" s="1"/>
      <c r="B85" s="35" t="s">
        <v>17</v>
      </c>
      <c r="C85" s="34" t="s">
        <v>13</v>
      </c>
      <c r="D85" s="35">
        <v>30.83</v>
      </c>
      <c r="E85" s="36">
        <f>'NHÂN CÔNG'!G8</f>
        <v>284715</v>
      </c>
      <c r="F85" s="36">
        <f>E85*D85</f>
        <v>8777763.4499999993</v>
      </c>
      <c r="G85" s="30"/>
      <c r="H85" s="35">
        <f>D85+0.15</f>
        <v>30.979999999999997</v>
      </c>
      <c r="I85" s="44">
        <f>H85*E85</f>
        <v>8820470.6999999993</v>
      </c>
      <c r="J85" s="33"/>
      <c r="L85" s="35">
        <f>D85-0.15</f>
        <v>30.68</v>
      </c>
      <c r="M85" s="44">
        <f>L85*E85</f>
        <v>8735056.1999999993</v>
      </c>
      <c r="N85" s="48"/>
    </row>
    <row r="86" spans="1:14" x14ac:dyDescent="0.3">
      <c r="A86" s="1"/>
      <c r="B86" s="35" t="s">
        <v>18</v>
      </c>
      <c r="C86" s="34" t="s">
        <v>13</v>
      </c>
      <c r="D86" s="35">
        <v>14.25</v>
      </c>
      <c r="E86" s="36">
        <f>'NHÂN CÔNG'!G10</f>
        <v>341145</v>
      </c>
      <c r="F86" s="36">
        <f>E86*D86</f>
        <v>4861316.25</v>
      </c>
      <c r="G86" s="30"/>
      <c r="H86" s="35">
        <f>D86+0.15</f>
        <v>14.4</v>
      </c>
      <c r="I86" s="44">
        <f>H86*E86</f>
        <v>4912488</v>
      </c>
      <c r="J86" s="33"/>
      <c r="L86" s="35">
        <f>D86-0.15</f>
        <v>14.1</v>
      </c>
      <c r="M86" s="44">
        <f>L86*E86</f>
        <v>4810144.5</v>
      </c>
      <c r="N86" s="48"/>
    </row>
    <row r="87" spans="1:14" x14ac:dyDescent="0.3">
      <c r="A87" s="1" t="s">
        <v>142</v>
      </c>
      <c r="B87" s="35" t="s">
        <v>19</v>
      </c>
      <c r="C87" s="34"/>
      <c r="D87" s="35"/>
      <c r="E87" s="36"/>
      <c r="F87" s="36">
        <f>F88+F89</f>
        <v>2045861.9549999996</v>
      </c>
      <c r="G87" s="30"/>
      <c r="H87" s="35"/>
      <c r="I87" s="44">
        <f>SUM(I88:I89)</f>
        <v>2059943.8049999997</v>
      </c>
      <c r="J87" s="33"/>
      <c r="L87" s="35"/>
      <c r="M87" s="44">
        <f>SUM(M88:M89)</f>
        <v>2031780.105</v>
      </c>
      <c r="N87" s="48"/>
    </row>
    <row r="88" spans="1:14" x14ac:dyDescent="0.3">
      <c r="A88" s="1"/>
      <c r="B88" s="35" t="s">
        <v>17</v>
      </c>
      <c r="C88" s="34" t="s">
        <v>13</v>
      </c>
      <c r="D88" s="35">
        <f>D85*15%</f>
        <v>4.6244999999999994</v>
      </c>
      <c r="E88" s="36">
        <f>E85</f>
        <v>284715</v>
      </c>
      <c r="F88" s="36">
        <f>E88*D88</f>
        <v>1316664.5174999998</v>
      </c>
      <c r="G88" s="30"/>
      <c r="H88" s="35">
        <f>15%*H85</f>
        <v>4.6469999999999994</v>
      </c>
      <c r="I88" s="44">
        <f t="shared" ref="I88:I89" si="10">H88*E88</f>
        <v>1323070.6049999997</v>
      </c>
      <c r="J88" s="33"/>
      <c r="L88" s="35">
        <f>15%*L85</f>
        <v>4.6019999999999994</v>
      </c>
      <c r="M88" s="44">
        <f>L88*E88</f>
        <v>1310258.43</v>
      </c>
      <c r="N88" s="48"/>
    </row>
    <row r="89" spans="1:14" x14ac:dyDescent="0.3">
      <c r="A89" s="1"/>
      <c r="B89" s="35" t="s">
        <v>18</v>
      </c>
      <c r="C89" s="34" t="s">
        <v>13</v>
      </c>
      <c r="D89" s="35">
        <f>15%*D86</f>
        <v>2.1374999999999997</v>
      </c>
      <c r="E89" s="36">
        <f>E86</f>
        <v>341145</v>
      </c>
      <c r="F89" s="36">
        <f>E89*D89</f>
        <v>729197.43749999988</v>
      </c>
      <c r="G89" s="30"/>
      <c r="H89" s="35">
        <f>15%*H86</f>
        <v>2.16</v>
      </c>
      <c r="I89" s="44">
        <f t="shared" si="10"/>
        <v>736873.20000000007</v>
      </c>
      <c r="J89" s="33"/>
      <c r="L89" s="35">
        <f>15%*L86</f>
        <v>2.1149999999999998</v>
      </c>
      <c r="M89" s="44">
        <f t="shared" ref="M89" si="11">L89*E89</f>
        <v>721521.67499999993</v>
      </c>
      <c r="N89" s="48"/>
    </row>
    <row r="90" spans="1:14" x14ac:dyDescent="0.3">
      <c r="A90" s="1">
        <v>2</v>
      </c>
      <c r="B90" s="33" t="s">
        <v>47</v>
      </c>
      <c r="C90" s="34"/>
      <c r="D90" s="35"/>
      <c r="E90" s="36"/>
      <c r="F90" s="37">
        <f>SUM(F91:F92)</f>
        <v>541680</v>
      </c>
      <c r="G90" s="30"/>
      <c r="H90" s="35"/>
      <c r="I90" s="43">
        <f>SUM(I91:I92)</f>
        <v>544680</v>
      </c>
      <c r="J90" s="43">
        <f>I90-F90</f>
        <v>3000</v>
      </c>
      <c r="L90" s="35"/>
      <c r="M90" s="43">
        <f>SUM(M91:M92)</f>
        <v>539160</v>
      </c>
      <c r="N90" s="46">
        <f>F90-M90</f>
        <v>2520</v>
      </c>
    </row>
    <row r="91" spans="1:14" x14ac:dyDescent="0.3">
      <c r="A91" s="1" t="s">
        <v>248</v>
      </c>
      <c r="B91" s="35" t="s">
        <v>6</v>
      </c>
      <c r="C91" s="34" t="s">
        <v>14</v>
      </c>
      <c r="D91" s="35">
        <v>45.08</v>
      </c>
      <c r="E91" s="36">
        <f>'THIẾT BỊ'!F7</f>
        <v>12000</v>
      </c>
      <c r="F91" s="36">
        <f>E91*D91</f>
        <v>540960</v>
      </c>
      <c r="G91" s="30"/>
      <c r="H91" s="35">
        <f>D91+0.15</f>
        <v>45.23</v>
      </c>
      <c r="I91" s="44">
        <f>H91*E91</f>
        <v>542760</v>
      </c>
      <c r="J91" s="33"/>
      <c r="L91" s="35">
        <f>D91-0.15</f>
        <v>44.93</v>
      </c>
      <c r="M91" s="44">
        <f t="shared" ref="M91" si="12">L91*E91</f>
        <v>539160</v>
      </c>
      <c r="N91" s="48"/>
    </row>
    <row r="92" spans="1:14" x14ac:dyDescent="0.3">
      <c r="A92" s="1" t="s">
        <v>249</v>
      </c>
      <c r="B92" s="35" t="s">
        <v>7</v>
      </c>
      <c r="C92" s="34" t="s">
        <v>14</v>
      </c>
      <c r="D92" s="35">
        <v>0.09</v>
      </c>
      <c r="E92" s="36">
        <f>'THIẾT BỊ'!F8</f>
        <v>8000</v>
      </c>
      <c r="F92" s="36">
        <f>E92*D92</f>
        <v>720</v>
      </c>
      <c r="G92" s="30"/>
      <c r="H92" s="35">
        <f>D92+0.15</f>
        <v>0.24</v>
      </c>
      <c r="I92" s="44">
        <f>E92*H92</f>
        <v>1920</v>
      </c>
      <c r="J92" s="33"/>
      <c r="L92" s="35">
        <v>0</v>
      </c>
      <c r="M92" s="44"/>
      <c r="N92" s="48"/>
    </row>
    <row r="93" spans="1:14" x14ac:dyDescent="0.3">
      <c r="A93" s="1">
        <v>3</v>
      </c>
      <c r="B93" s="33" t="s">
        <v>48</v>
      </c>
      <c r="C93" s="34"/>
      <c r="D93" s="35"/>
      <c r="E93" s="36"/>
      <c r="F93" s="37">
        <f>SUM(F94:F95)</f>
        <v>362700</v>
      </c>
      <c r="G93" s="30"/>
      <c r="H93" s="35"/>
      <c r="I93" s="43">
        <f>SUM(I94:I95)</f>
        <v>362700</v>
      </c>
      <c r="J93" s="33"/>
      <c r="L93" s="35"/>
      <c r="M93" s="43">
        <f>SUM(M94:M95)</f>
        <v>362700</v>
      </c>
      <c r="N93" s="48"/>
    </row>
    <row r="94" spans="1:14" x14ac:dyDescent="0.3">
      <c r="A94" s="1" t="s">
        <v>250</v>
      </c>
      <c r="B94" s="35" t="s">
        <v>9</v>
      </c>
      <c r="C94" s="34" t="s">
        <v>15</v>
      </c>
      <c r="D94" s="35">
        <v>0.93</v>
      </c>
      <c r="E94" s="36">
        <f>'VẬT LIỆU'!D5</f>
        <v>90000</v>
      </c>
      <c r="F94" s="36">
        <f>E94*D94</f>
        <v>83700</v>
      </c>
      <c r="G94" s="30"/>
      <c r="H94" s="35"/>
      <c r="I94" s="44">
        <f>F94</f>
        <v>83700</v>
      </c>
      <c r="J94" s="33"/>
      <c r="L94" s="35"/>
      <c r="M94" s="44">
        <f>I94</f>
        <v>83700</v>
      </c>
      <c r="N94" s="48"/>
    </row>
    <row r="95" spans="1:14" x14ac:dyDescent="0.3">
      <c r="A95" s="1" t="s">
        <v>251</v>
      </c>
      <c r="B95" s="35" t="s">
        <v>10</v>
      </c>
      <c r="C95" s="34" t="s">
        <v>16</v>
      </c>
      <c r="D95" s="35">
        <v>0.31</v>
      </c>
      <c r="E95" s="36">
        <f>'VẬT LIỆU'!D6</f>
        <v>900000</v>
      </c>
      <c r="F95" s="36">
        <f>E95*D95</f>
        <v>279000</v>
      </c>
      <c r="G95" s="30"/>
      <c r="H95" s="35"/>
      <c r="I95" s="44">
        <f>F95</f>
        <v>279000</v>
      </c>
      <c r="J95" s="33"/>
      <c r="L95" s="35"/>
      <c r="M95" s="44">
        <f>I95</f>
        <v>279000</v>
      </c>
      <c r="N95" s="48"/>
    </row>
    <row r="96" spans="1:14" x14ac:dyDescent="0.3">
      <c r="A96" s="1" t="s">
        <v>39</v>
      </c>
      <c r="B96" s="33" t="s">
        <v>11</v>
      </c>
      <c r="C96" s="34" t="s">
        <v>12</v>
      </c>
      <c r="D96" s="35">
        <v>15</v>
      </c>
      <c r="E96" s="36"/>
      <c r="F96" s="37">
        <f>F82*D96%</f>
        <v>2488398.2482499997</v>
      </c>
      <c r="G96" s="30"/>
      <c r="H96" s="35"/>
      <c r="I96" s="43">
        <f>D96%*I82</f>
        <v>2505042.3757499997</v>
      </c>
      <c r="J96" s="43">
        <f>I96-F96</f>
        <v>16644.127499999944</v>
      </c>
      <c r="L96" s="35"/>
      <c r="M96" s="43">
        <f>D96%*M82</f>
        <v>2471826.1207499998</v>
      </c>
      <c r="N96" s="46">
        <f>F96-M96</f>
        <v>16572.127499999944</v>
      </c>
    </row>
    <row r="97" spans="1:14" x14ac:dyDescent="0.3">
      <c r="A97" s="1"/>
      <c r="B97" s="49" t="s">
        <v>85</v>
      </c>
      <c r="C97" s="34"/>
      <c r="D97" s="35"/>
      <c r="E97" s="36"/>
      <c r="F97" s="37">
        <f>F96+F82</f>
        <v>19077719.903249998</v>
      </c>
      <c r="G97" s="30"/>
      <c r="I97" s="46">
        <f>I96+I82</f>
        <v>19205324.88075</v>
      </c>
      <c r="J97" s="46">
        <f>I97-F97</f>
        <v>127604.97750000283</v>
      </c>
      <c r="M97" s="46">
        <f>M96+M82</f>
        <v>18950666.925749999</v>
      </c>
      <c r="N97" s="46">
        <f>F97-M97</f>
        <v>127052.97749999911</v>
      </c>
    </row>
    <row r="98" spans="1:14" ht="46.15" customHeight="1" x14ac:dyDescent="0.3">
      <c r="A98" s="1"/>
      <c r="B98" s="45" t="s">
        <v>281</v>
      </c>
      <c r="C98" s="35"/>
      <c r="D98" s="35"/>
      <c r="E98" s="36"/>
      <c r="F98" s="47">
        <f>J97</f>
        <v>127604.97750000283</v>
      </c>
      <c r="G98" s="30"/>
    </row>
    <row r="99" spans="1:14" ht="56.25" x14ac:dyDescent="0.3">
      <c r="A99" s="1"/>
      <c r="B99" s="45" t="s">
        <v>282</v>
      </c>
      <c r="C99" s="35"/>
      <c r="D99" s="35"/>
      <c r="E99" s="36"/>
      <c r="F99" s="47">
        <f>N97</f>
        <v>127052.97749999911</v>
      </c>
      <c r="G99" s="30"/>
    </row>
    <row r="100" spans="1:14" x14ac:dyDescent="0.3">
      <c r="A100" s="28"/>
      <c r="B100" s="30"/>
      <c r="C100" s="30"/>
      <c r="D100" s="30"/>
      <c r="E100" s="31"/>
      <c r="F100" s="31"/>
      <c r="G100" s="30"/>
    </row>
    <row r="101" spans="1:14" x14ac:dyDescent="0.3">
      <c r="A101" s="28">
        <v>5</v>
      </c>
      <c r="B101" s="167" t="s">
        <v>270</v>
      </c>
      <c r="C101" s="167"/>
      <c r="D101" s="167"/>
      <c r="E101" s="167"/>
      <c r="F101" s="167"/>
      <c r="G101" s="30"/>
    </row>
    <row r="102" spans="1:14" ht="19.5" x14ac:dyDescent="0.3">
      <c r="A102" s="28"/>
      <c r="B102" s="52" t="s">
        <v>246</v>
      </c>
      <c r="C102" s="22"/>
      <c r="D102" s="22"/>
      <c r="E102" s="22"/>
      <c r="F102" s="22"/>
      <c r="G102" s="30"/>
    </row>
    <row r="103" spans="1:14" x14ac:dyDescent="0.3">
      <c r="A103" s="28"/>
      <c r="B103" s="156" t="s">
        <v>263</v>
      </c>
      <c r="C103" s="157"/>
      <c r="D103" s="157"/>
      <c r="E103" s="157"/>
      <c r="F103" s="157"/>
      <c r="G103" s="30"/>
    </row>
    <row r="104" spans="1:14" ht="37.5" customHeight="1" x14ac:dyDescent="0.3">
      <c r="A104" s="28"/>
      <c r="B104" s="156" t="s">
        <v>52</v>
      </c>
      <c r="C104" s="157"/>
      <c r="D104" s="157"/>
      <c r="E104" s="157"/>
      <c r="F104" s="157"/>
      <c r="G104" s="30"/>
    </row>
    <row r="105" spans="1:14" ht="36.950000000000003" customHeight="1" x14ac:dyDescent="0.3">
      <c r="A105" s="28"/>
      <c r="B105" s="156" t="s">
        <v>264</v>
      </c>
      <c r="C105" s="157"/>
      <c r="D105" s="157"/>
      <c r="E105" s="157"/>
      <c r="F105" s="157"/>
      <c r="G105" s="30"/>
    </row>
    <row r="106" spans="1:14" x14ac:dyDescent="0.3">
      <c r="A106" s="28"/>
      <c r="B106" s="30"/>
      <c r="C106" s="30"/>
      <c r="D106" s="30"/>
      <c r="E106" s="31"/>
      <c r="F106" s="31"/>
      <c r="G106" s="30"/>
      <c r="H106" s="35" t="s">
        <v>69</v>
      </c>
      <c r="L106" s="35" t="s">
        <v>70</v>
      </c>
    </row>
    <row r="107" spans="1:14" ht="37.5" x14ac:dyDescent="0.3">
      <c r="A107" s="1" t="s">
        <v>0</v>
      </c>
      <c r="B107" s="1" t="s">
        <v>1</v>
      </c>
      <c r="C107" s="1" t="s">
        <v>2</v>
      </c>
      <c r="D107" s="1" t="s">
        <v>3</v>
      </c>
      <c r="E107" s="32" t="s">
        <v>36</v>
      </c>
      <c r="F107" s="32" t="s">
        <v>27</v>
      </c>
      <c r="G107" s="30"/>
      <c r="H107" s="1" t="s">
        <v>3</v>
      </c>
      <c r="I107" s="32" t="s">
        <v>36</v>
      </c>
      <c r="J107" s="43"/>
      <c r="L107" s="1" t="s">
        <v>3</v>
      </c>
      <c r="M107" s="32" t="s">
        <v>36</v>
      </c>
    </row>
    <row r="108" spans="1:14" x14ac:dyDescent="0.3">
      <c r="A108" s="1" t="s">
        <v>38</v>
      </c>
      <c r="B108" s="33" t="s">
        <v>4</v>
      </c>
      <c r="C108" s="34"/>
      <c r="D108" s="35"/>
      <c r="E108" s="36"/>
      <c r="F108" s="37">
        <f>F109+F116+F119</f>
        <v>89994336.05250001</v>
      </c>
      <c r="G108" s="30"/>
      <c r="H108" s="35"/>
      <c r="I108" s="43">
        <f>I109+I116+I119</f>
        <v>90364205.552499995</v>
      </c>
      <c r="J108" s="44"/>
      <c r="L108" s="35"/>
      <c r="M108" s="43">
        <f>M109+M116+M119</f>
        <v>89624466.55250001</v>
      </c>
    </row>
    <row r="109" spans="1:14" x14ac:dyDescent="0.3">
      <c r="A109" s="1">
        <v>1</v>
      </c>
      <c r="B109" s="33" t="s">
        <v>46</v>
      </c>
      <c r="C109" s="34"/>
      <c r="D109" s="35"/>
      <c r="E109" s="36"/>
      <c r="F109" s="37">
        <f>F110+F113</f>
        <v>73678236.05250001</v>
      </c>
      <c r="G109" s="30"/>
      <c r="H109" s="35"/>
      <c r="I109" s="43">
        <f>I110+I113</f>
        <v>74038105.552499995</v>
      </c>
      <c r="J109" s="43">
        <f>I109-F109</f>
        <v>359869.4999999851</v>
      </c>
      <c r="L109" s="35"/>
      <c r="M109" s="43">
        <f>M110+M113</f>
        <v>73318366.55250001</v>
      </c>
      <c r="N109" s="46">
        <f>F109-M109</f>
        <v>359869.5</v>
      </c>
    </row>
    <row r="110" spans="1:14" x14ac:dyDescent="0.3">
      <c r="A110" s="1" t="s">
        <v>141</v>
      </c>
      <c r="B110" s="35" t="s">
        <v>5</v>
      </c>
      <c r="C110" s="34"/>
      <c r="D110" s="35"/>
      <c r="E110" s="36"/>
      <c r="F110" s="36">
        <f>F111+F112</f>
        <v>64068031.350000001</v>
      </c>
      <c r="G110" s="30"/>
      <c r="H110" s="35"/>
      <c r="I110" s="44">
        <f>SUM(I111:I112)</f>
        <v>64380961.350000001</v>
      </c>
      <c r="J110" s="33"/>
      <c r="L110" s="35"/>
      <c r="M110" s="44">
        <f>SUM(M111:M112)</f>
        <v>63755101.350000001</v>
      </c>
      <c r="N110" s="48"/>
    </row>
    <row r="111" spans="1:14" x14ac:dyDescent="0.3">
      <c r="A111" s="1"/>
      <c r="B111" s="35" t="s">
        <v>17</v>
      </c>
      <c r="C111" s="34" t="s">
        <v>13</v>
      </c>
      <c r="D111" s="53">
        <v>5</v>
      </c>
      <c r="E111" s="36">
        <f>'NHÂN CÔNG'!G8</f>
        <v>284715</v>
      </c>
      <c r="F111" s="36">
        <f>E111*D111</f>
        <v>1423575</v>
      </c>
      <c r="G111" s="30"/>
      <c r="H111" s="54">
        <f>D111+0.5</f>
        <v>5.5</v>
      </c>
      <c r="I111" s="44">
        <f>H111*E111</f>
        <v>1565932.5</v>
      </c>
      <c r="J111" s="33"/>
      <c r="L111" s="54">
        <f>D111-0.5</f>
        <v>4.5</v>
      </c>
      <c r="M111" s="44">
        <f>L111*E111</f>
        <v>1281217.5</v>
      </c>
      <c r="N111" s="48"/>
    </row>
    <row r="112" spans="1:14" x14ac:dyDescent="0.3">
      <c r="A112" s="1"/>
      <c r="B112" s="35" t="s">
        <v>18</v>
      </c>
      <c r="C112" s="34" t="s">
        <v>13</v>
      </c>
      <c r="D112" s="53">
        <v>183.63</v>
      </c>
      <c r="E112" s="36">
        <f>'NHÂN CÔNG'!G10</f>
        <v>341145</v>
      </c>
      <c r="F112" s="36">
        <f>E112*D112</f>
        <v>62644456.350000001</v>
      </c>
      <c r="G112" s="30"/>
      <c r="H112" s="54">
        <f>D112+0.5</f>
        <v>184.13</v>
      </c>
      <c r="I112" s="44">
        <f>H112*E112</f>
        <v>62815028.850000001</v>
      </c>
      <c r="J112" s="33"/>
      <c r="L112" s="54">
        <f>D112-0.5</f>
        <v>183.13</v>
      </c>
      <c r="M112" s="44">
        <f>L112*E112</f>
        <v>62473883.850000001</v>
      </c>
      <c r="N112" s="48"/>
    </row>
    <row r="113" spans="1:14" x14ac:dyDescent="0.3">
      <c r="A113" s="1" t="s">
        <v>142</v>
      </c>
      <c r="B113" s="35" t="s">
        <v>19</v>
      </c>
      <c r="C113" s="34"/>
      <c r="D113" s="35"/>
      <c r="E113" s="36"/>
      <c r="F113" s="36">
        <f>F114+F115</f>
        <v>9610204.7025000006</v>
      </c>
      <c r="G113" s="30"/>
      <c r="H113" s="35"/>
      <c r="I113" s="44">
        <f>SUM(I114:I115)</f>
        <v>9657144.2024999987</v>
      </c>
      <c r="J113" s="33"/>
      <c r="L113" s="35"/>
      <c r="M113" s="44">
        <f>SUM(M114:M115)</f>
        <v>9563265.2025000006</v>
      </c>
      <c r="N113" s="48"/>
    </row>
    <row r="114" spans="1:14" x14ac:dyDescent="0.3">
      <c r="A114" s="1"/>
      <c r="B114" s="35" t="s">
        <v>17</v>
      </c>
      <c r="C114" s="34" t="s">
        <v>13</v>
      </c>
      <c r="D114" s="54">
        <f>D111*15%</f>
        <v>0.75</v>
      </c>
      <c r="E114" s="36">
        <f>E111</f>
        <v>284715</v>
      </c>
      <c r="F114" s="36">
        <f>E114*D114</f>
        <v>213536.25</v>
      </c>
      <c r="G114" s="30"/>
      <c r="H114" s="54">
        <f>15%*H111</f>
        <v>0.82499999999999996</v>
      </c>
      <c r="I114" s="44">
        <f t="shared" ref="I114:I115" si="13">H114*E114</f>
        <v>234889.875</v>
      </c>
      <c r="J114" s="33"/>
      <c r="L114" s="54">
        <f>15%*L111</f>
        <v>0.67499999999999993</v>
      </c>
      <c r="M114" s="44">
        <f>L114*E114</f>
        <v>192182.62499999997</v>
      </c>
      <c r="N114" s="48"/>
    </row>
    <row r="115" spans="1:14" x14ac:dyDescent="0.3">
      <c r="A115" s="1"/>
      <c r="B115" s="35" t="s">
        <v>18</v>
      </c>
      <c r="C115" s="34" t="s">
        <v>13</v>
      </c>
      <c r="D115" s="55">
        <f>D112*15%</f>
        <v>27.544499999999999</v>
      </c>
      <c r="E115" s="36">
        <f>E112</f>
        <v>341145</v>
      </c>
      <c r="F115" s="36">
        <f>E115*D115</f>
        <v>9396668.4525000006</v>
      </c>
      <c r="G115" s="30"/>
      <c r="H115" s="54">
        <f>15%*H112</f>
        <v>27.619499999999999</v>
      </c>
      <c r="I115" s="44">
        <f t="shared" si="13"/>
        <v>9422254.3274999987</v>
      </c>
      <c r="J115" s="33"/>
      <c r="L115" s="54">
        <f>15%*L112</f>
        <v>27.4695</v>
      </c>
      <c r="M115" s="44">
        <f t="shared" ref="M115" si="14">L115*E115</f>
        <v>9371082.5775000006</v>
      </c>
      <c r="N115" s="48"/>
    </row>
    <row r="116" spans="1:14" x14ac:dyDescent="0.3">
      <c r="A116" s="1">
        <v>2</v>
      </c>
      <c r="B116" s="33" t="s">
        <v>47</v>
      </c>
      <c r="C116" s="34"/>
      <c r="D116" s="35"/>
      <c r="E116" s="36"/>
      <c r="F116" s="37">
        <f>SUM(F117:F118)</f>
        <v>2349800</v>
      </c>
      <c r="G116" s="30"/>
      <c r="H116" s="35"/>
      <c r="I116" s="43">
        <f>SUM(I117:I118)</f>
        <v>2359800</v>
      </c>
      <c r="J116" s="43">
        <f>I116-F116</f>
        <v>10000</v>
      </c>
      <c r="L116" s="35"/>
      <c r="M116" s="43">
        <f>SUM(M117:M118)</f>
        <v>2339800</v>
      </c>
      <c r="N116" s="46">
        <f>F116-M116</f>
        <v>10000</v>
      </c>
    </row>
    <row r="117" spans="1:14" x14ac:dyDescent="0.3">
      <c r="A117" s="1" t="s">
        <v>248</v>
      </c>
      <c r="B117" s="35" t="s">
        <v>6</v>
      </c>
      <c r="C117" s="34" t="s">
        <v>14</v>
      </c>
      <c r="D117" s="35">
        <v>191.63</v>
      </c>
      <c r="E117" s="36">
        <f>'THIẾT BỊ'!F7</f>
        <v>12000</v>
      </c>
      <c r="F117" s="36">
        <f>E117*D117</f>
        <v>2299560</v>
      </c>
      <c r="G117" s="30"/>
      <c r="H117" s="35">
        <f>D117+0.5</f>
        <v>192.13</v>
      </c>
      <c r="I117" s="44">
        <f>H117*E117</f>
        <v>2305560</v>
      </c>
      <c r="J117" s="33"/>
      <c r="L117" s="35">
        <f>D117-0.5</f>
        <v>191.13</v>
      </c>
      <c r="M117" s="44">
        <f>L117*E117</f>
        <v>2293560</v>
      </c>
      <c r="N117" s="48"/>
    </row>
    <row r="118" spans="1:14" x14ac:dyDescent="0.3">
      <c r="A118" s="1" t="s">
        <v>249</v>
      </c>
      <c r="B118" s="35" t="s">
        <v>7</v>
      </c>
      <c r="C118" s="34" t="s">
        <v>14</v>
      </c>
      <c r="D118" s="35">
        <v>6.28</v>
      </c>
      <c r="E118" s="36">
        <f>'THIẾT BỊ'!F8</f>
        <v>8000</v>
      </c>
      <c r="F118" s="36">
        <f>E118*D118</f>
        <v>50240</v>
      </c>
      <c r="G118" s="30"/>
      <c r="H118" s="35">
        <f>D118+0.5</f>
        <v>6.78</v>
      </c>
      <c r="I118" s="44">
        <f>E118*H118</f>
        <v>54240</v>
      </c>
      <c r="J118" s="33"/>
      <c r="L118" s="35">
        <f>D118-0.5</f>
        <v>5.78</v>
      </c>
      <c r="M118" s="44">
        <f>L118*E118</f>
        <v>46240</v>
      </c>
      <c r="N118" s="48"/>
    </row>
    <row r="119" spans="1:14" x14ac:dyDescent="0.3">
      <c r="A119" s="1">
        <v>3</v>
      </c>
      <c r="B119" s="33" t="s">
        <v>48</v>
      </c>
      <c r="C119" s="34"/>
      <c r="D119" s="35"/>
      <c r="E119" s="36"/>
      <c r="F119" s="37">
        <f>SUM(F120:F122)</f>
        <v>13966300</v>
      </c>
      <c r="G119" s="30"/>
      <c r="H119" s="35"/>
      <c r="I119" s="43">
        <f>SUM(I120:I122)</f>
        <v>13966300</v>
      </c>
      <c r="J119" s="43">
        <f>I119-F119</f>
        <v>0</v>
      </c>
      <c r="L119" s="35"/>
      <c r="M119" s="43">
        <f>SUM(M120:M122)</f>
        <v>13966300</v>
      </c>
      <c r="N119" s="46">
        <f>F119-M119</f>
        <v>0</v>
      </c>
    </row>
    <row r="120" spans="1:14" x14ac:dyDescent="0.3">
      <c r="A120" s="1" t="s">
        <v>250</v>
      </c>
      <c r="B120" s="35" t="s">
        <v>9</v>
      </c>
      <c r="C120" s="34" t="s">
        <v>15</v>
      </c>
      <c r="D120" s="56">
        <v>35.200000000000003</v>
      </c>
      <c r="E120" s="36">
        <f>'VẬT LIỆU'!D5</f>
        <v>90000</v>
      </c>
      <c r="F120" s="36">
        <f>E120*D120</f>
        <v>3168000.0000000005</v>
      </c>
      <c r="G120" s="30"/>
      <c r="H120" s="35"/>
      <c r="I120" s="44">
        <f>F120</f>
        <v>3168000.0000000005</v>
      </c>
      <c r="J120" s="33"/>
      <c r="L120" s="35"/>
      <c r="M120" s="44">
        <f>I120</f>
        <v>3168000.0000000005</v>
      </c>
      <c r="N120" s="48"/>
    </row>
    <row r="121" spans="1:14" x14ac:dyDescent="0.3">
      <c r="A121" s="1" t="s">
        <v>251</v>
      </c>
      <c r="B121" s="35" t="s">
        <v>10</v>
      </c>
      <c r="C121" s="34" t="s">
        <v>16</v>
      </c>
      <c r="D121" s="35">
        <v>11.73</v>
      </c>
      <c r="E121" s="36">
        <f>'VẬT LIỆU'!D6</f>
        <v>900000</v>
      </c>
      <c r="F121" s="36">
        <f>E121*D121</f>
        <v>10557000</v>
      </c>
      <c r="G121" s="30"/>
      <c r="H121" s="35"/>
      <c r="I121" s="44">
        <f>F121</f>
        <v>10557000</v>
      </c>
      <c r="J121" s="33"/>
      <c r="L121" s="35"/>
      <c r="M121" s="44">
        <f>I121</f>
        <v>10557000</v>
      </c>
      <c r="N121" s="48"/>
    </row>
    <row r="122" spans="1:14" ht="37.5" x14ac:dyDescent="0.3">
      <c r="A122" s="1" t="s">
        <v>252</v>
      </c>
      <c r="B122" s="57" t="s">
        <v>53</v>
      </c>
      <c r="C122" s="58" t="s">
        <v>253</v>
      </c>
      <c r="D122" s="35">
        <v>2.54</v>
      </c>
      <c r="E122" s="36">
        <f>'VẬT LIỆU'!D7</f>
        <v>95000</v>
      </c>
      <c r="F122" s="36">
        <f>E122*D122</f>
        <v>241300</v>
      </c>
      <c r="G122" s="30"/>
      <c r="H122" s="35"/>
      <c r="I122" s="44">
        <f>E122*D122</f>
        <v>241300</v>
      </c>
      <c r="J122" s="33"/>
      <c r="L122" s="35"/>
      <c r="M122" s="44">
        <f>I122</f>
        <v>241300</v>
      </c>
      <c r="N122" s="48"/>
    </row>
    <row r="123" spans="1:14" x14ac:dyDescent="0.3">
      <c r="A123" s="1" t="s">
        <v>39</v>
      </c>
      <c r="B123" s="33" t="s">
        <v>11</v>
      </c>
      <c r="C123" s="34" t="s">
        <v>12</v>
      </c>
      <c r="D123" s="35">
        <v>15</v>
      </c>
      <c r="E123" s="36"/>
      <c r="F123" s="37">
        <f>F108*D123%</f>
        <v>13499150.407875001</v>
      </c>
      <c r="G123" s="30"/>
      <c r="H123" s="35"/>
      <c r="I123" s="43">
        <f>D123%*I108</f>
        <v>13554630.832874998</v>
      </c>
      <c r="J123" s="43">
        <f>I123-F123</f>
        <v>55480.42499999702</v>
      </c>
      <c r="L123" s="35"/>
      <c r="M123" s="43">
        <f>D123%*M108</f>
        <v>13443669.982875001</v>
      </c>
      <c r="N123" s="46">
        <f>F123-M123</f>
        <v>55480.425000000745</v>
      </c>
    </row>
    <row r="124" spans="1:14" x14ac:dyDescent="0.3">
      <c r="A124" s="1"/>
      <c r="B124" s="49" t="s">
        <v>85</v>
      </c>
      <c r="C124" s="34"/>
      <c r="D124" s="35"/>
      <c r="E124" s="36"/>
      <c r="F124" s="37">
        <f>F123+F108</f>
        <v>103493486.46037501</v>
      </c>
      <c r="G124" s="30"/>
      <c r="I124" s="46">
        <f>I123+I108</f>
        <v>103918836.38537499</v>
      </c>
      <c r="J124" s="46">
        <f>I124-F124</f>
        <v>425349.92499998212</v>
      </c>
      <c r="M124" s="46">
        <f>M123+M108</f>
        <v>103068136.53537501</v>
      </c>
      <c r="N124" s="46">
        <f>F124-M124</f>
        <v>425349.92499999702</v>
      </c>
    </row>
    <row r="125" spans="1:14" ht="56.25" x14ac:dyDescent="0.3">
      <c r="A125" s="1"/>
      <c r="B125" s="45" t="s">
        <v>281</v>
      </c>
      <c r="C125" s="35"/>
      <c r="D125" s="35"/>
      <c r="E125" s="36"/>
      <c r="F125" s="47">
        <f>J124</f>
        <v>425349.92499998212</v>
      </c>
      <c r="G125" s="30"/>
    </row>
    <row r="126" spans="1:14" ht="56.25" x14ac:dyDescent="0.3">
      <c r="A126" s="1"/>
      <c r="B126" s="45" t="s">
        <v>282</v>
      </c>
      <c r="C126" s="35"/>
      <c r="D126" s="35"/>
      <c r="E126" s="36"/>
      <c r="F126" s="47">
        <f>N124</f>
        <v>425349.92499999702</v>
      </c>
      <c r="G126" s="30"/>
    </row>
    <row r="127" spans="1:14" x14ac:dyDescent="0.3">
      <c r="A127" s="28"/>
      <c r="B127" s="30"/>
      <c r="C127" s="30"/>
      <c r="D127" s="30"/>
      <c r="E127" s="31"/>
      <c r="F127" s="31"/>
      <c r="G127" s="30"/>
    </row>
    <row r="128" spans="1:14" x14ac:dyDescent="0.3">
      <c r="A128" s="28">
        <v>6</v>
      </c>
      <c r="B128" s="167" t="s">
        <v>254</v>
      </c>
      <c r="C128" s="167"/>
      <c r="D128" s="167"/>
      <c r="E128" s="167"/>
      <c r="F128" s="167"/>
      <c r="G128" s="30"/>
    </row>
    <row r="129" spans="1:14" ht="19.5" x14ac:dyDescent="0.3">
      <c r="A129" s="28"/>
      <c r="B129" s="168" t="s">
        <v>50</v>
      </c>
      <c r="C129" s="168"/>
      <c r="D129" s="168"/>
      <c r="E129" s="168"/>
      <c r="F129" s="168"/>
      <c r="G129" s="30"/>
    </row>
    <row r="130" spans="1:14" ht="26.1" customHeight="1" x14ac:dyDescent="0.3">
      <c r="A130" s="28"/>
      <c r="B130" s="156" t="s">
        <v>265</v>
      </c>
      <c r="C130" s="157"/>
      <c r="D130" s="157"/>
      <c r="E130" s="157"/>
      <c r="F130" s="157"/>
      <c r="G130" s="30"/>
    </row>
    <row r="131" spans="1:14" ht="32.450000000000003" customHeight="1" x14ac:dyDescent="0.3">
      <c r="A131" s="28"/>
      <c r="B131" s="156" t="s">
        <v>266</v>
      </c>
      <c r="C131" s="157"/>
      <c r="D131" s="157"/>
      <c r="E131" s="157"/>
      <c r="F131" s="157"/>
      <c r="G131" s="30"/>
    </row>
    <row r="132" spans="1:14" ht="41.45" customHeight="1" x14ac:dyDescent="0.3">
      <c r="A132" s="28"/>
      <c r="B132" s="156" t="s">
        <v>267</v>
      </c>
      <c r="C132" s="157"/>
      <c r="D132" s="157"/>
      <c r="E132" s="157"/>
      <c r="F132" s="157"/>
      <c r="G132" s="30"/>
    </row>
    <row r="133" spans="1:14" x14ac:dyDescent="0.3">
      <c r="A133" s="28"/>
      <c r="B133" s="30"/>
      <c r="C133" s="30"/>
      <c r="D133" s="30"/>
      <c r="E133" s="31"/>
      <c r="F133" s="31"/>
      <c r="G133" s="30"/>
      <c r="H133" s="35" t="s">
        <v>69</v>
      </c>
      <c r="L133" s="35" t="s">
        <v>70</v>
      </c>
    </row>
    <row r="134" spans="1:14" ht="37.5" x14ac:dyDescent="0.3">
      <c r="A134" s="1" t="s">
        <v>0</v>
      </c>
      <c r="B134" s="1" t="s">
        <v>1</v>
      </c>
      <c r="C134" s="1" t="s">
        <v>2</v>
      </c>
      <c r="D134" s="1" t="s">
        <v>3</v>
      </c>
      <c r="E134" s="32" t="s">
        <v>36</v>
      </c>
      <c r="F134" s="32" t="s">
        <v>27</v>
      </c>
      <c r="G134" s="30"/>
      <c r="H134" s="1" t="s">
        <v>3</v>
      </c>
      <c r="I134" s="32" t="s">
        <v>36</v>
      </c>
      <c r="J134" s="43"/>
      <c r="L134" s="1" t="s">
        <v>3</v>
      </c>
      <c r="M134" s="32" t="s">
        <v>36</v>
      </c>
    </row>
    <row r="135" spans="1:14" x14ac:dyDescent="0.3">
      <c r="A135" s="1" t="s">
        <v>38</v>
      </c>
      <c r="B135" s="33" t="s">
        <v>4</v>
      </c>
      <c r="C135" s="34"/>
      <c r="D135" s="35"/>
      <c r="E135" s="36"/>
      <c r="F135" s="37">
        <f>F136+F143+F146</f>
        <v>14930934.035</v>
      </c>
      <c r="G135" s="30"/>
      <c r="H135" s="35"/>
      <c r="I135" s="43">
        <f>I136+I143+I146</f>
        <v>15268356.285</v>
      </c>
      <c r="J135" s="44"/>
      <c r="L135" s="35"/>
      <c r="M135" s="43">
        <f>M136+M143+M146</f>
        <v>14596631.785</v>
      </c>
    </row>
    <row r="136" spans="1:14" x14ac:dyDescent="0.3">
      <c r="A136" s="1">
        <v>1</v>
      </c>
      <c r="B136" s="33" t="s">
        <v>46</v>
      </c>
      <c r="C136" s="34"/>
      <c r="D136" s="35"/>
      <c r="E136" s="36"/>
      <c r="F136" s="37">
        <f>F137+F140</f>
        <v>14311774.035</v>
      </c>
      <c r="G136" s="30"/>
      <c r="H136" s="35"/>
      <c r="I136" s="43">
        <f>I137+I140</f>
        <v>14639196.285</v>
      </c>
      <c r="J136" s="43">
        <f>I136-F136</f>
        <v>327422.25</v>
      </c>
      <c r="L136" s="35"/>
      <c r="M136" s="43">
        <f>M137+M140</f>
        <v>13984351.785</v>
      </c>
      <c r="N136" s="46">
        <f>F136-M136</f>
        <v>327422.25</v>
      </c>
    </row>
    <row r="137" spans="1:14" x14ac:dyDescent="0.3">
      <c r="A137" s="1" t="s">
        <v>141</v>
      </c>
      <c r="B137" s="35" t="s">
        <v>87</v>
      </c>
      <c r="C137" s="34"/>
      <c r="D137" s="35"/>
      <c r="E137" s="36"/>
      <c r="F137" s="36">
        <f>F138+F139</f>
        <v>12445020.9</v>
      </c>
      <c r="G137" s="30"/>
      <c r="H137" s="35"/>
      <c r="I137" s="44">
        <f>SUM(I138:I139)</f>
        <v>12729735.9</v>
      </c>
      <c r="J137" s="33"/>
      <c r="L137" s="35"/>
      <c r="M137" s="44">
        <f>SUM(M138:M139)</f>
        <v>12160305.9</v>
      </c>
      <c r="N137" s="48"/>
    </row>
    <row r="138" spans="1:14" x14ac:dyDescent="0.3">
      <c r="A138" s="1"/>
      <c r="B138" s="35" t="s">
        <v>255</v>
      </c>
      <c r="C138" s="34" t="s">
        <v>13</v>
      </c>
      <c r="D138" s="35">
        <v>6.27</v>
      </c>
      <c r="E138" s="36">
        <f>'NHÂN CÔNG'!G7</f>
        <v>256500</v>
      </c>
      <c r="F138" s="36">
        <f>E138*D138</f>
        <v>1608255</v>
      </c>
      <c r="G138" s="30"/>
      <c r="H138" s="35">
        <f>D138+0.5</f>
        <v>6.77</v>
      </c>
      <c r="I138" s="44">
        <f>H138*E138</f>
        <v>1736505</v>
      </c>
      <c r="J138" s="33"/>
      <c r="L138" s="35">
        <f>D138-0.5</f>
        <v>5.77</v>
      </c>
      <c r="M138" s="44">
        <f>L138*E138</f>
        <v>1480005</v>
      </c>
      <c r="N138" s="48"/>
    </row>
    <row r="139" spans="1:14" x14ac:dyDescent="0.3">
      <c r="A139" s="1"/>
      <c r="B139" s="35" t="s">
        <v>256</v>
      </c>
      <c r="C139" s="34" t="s">
        <v>13</v>
      </c>
      <c r="D139" s="35">
        <v>34.630000000000003</v>
      </c>
      <c r="E139" s="36">
        <f>'NHÂN CÔNG'!G9</f>
        <v>312930</v>
      </c>
      <c r="F139" s="36">
        <f t="shared" ref="F139" si="15">E139*D139</f>
        <v>10836765.9</v>
      </c>
      <c r="G139" s="30"/>
      <c r="H139" s="35">
        <f>D139+0.5</f>
        <v>35.130000000000003</v>
      </c>
      <c r="I139" s="44">
        <f t="shared" ref="I139" si="16">H139*E139</f>
        <v>10993230.9</v>
      </c>
      <c r="J139" s="33"/>
      <c r="L139" s="35">
        <f>D139-0.5</f>
        <v>34.130000000000003</v>
      </c>
      <c r="M139" s="44">
        <f t="shared" ref="M139" si="17">L139*E139</f>
        <v>10680300.9</v>
      </c>
      <c r="N139" s="48"/>
    </row>
    <row r="140" spans="1:14" x14ac:dyDescent="0.3">
      <c r="A140" s="1" t="s">
        <v>142</v>
      </c>
      <c r="B140" s="35" t="s">
        <v>19</v>
      </c>
      <c r="C140" s="34"/>
      <c r="D140" s="35"/>
      <c r="E140" s="36"/>
      <c r="F140" s="36">
        <f>F141+F142</f>
        <v>1866753.1350000002</v>
      </c>
      <c r="G140" s="30"/>
      <c r="H140" s="35"/>
      <c r="I140" s="44">
        <f>SUM(I141:I142)</f>
        <v>1909460.385</v>
      </c>
      <c r="J140" s="33"/>
      <c r="L140" s="35"/>
      <c r="M140" s="44">
        <f>SUM(M141:M142)</f>
        <v>1824045.885</v>
      </c>
      <c r="N140" s="48"/>
    </row>
    <row r="141" spans="1:14" x14ac:dyDescent="0.3">
      <c r="A141" s="1"/>
      <c r="B141" s="35" t="s">
        <v>255</v>
      </c>
      <c r="C141" s="34" t="s">
        <v>13</v>
      </c>
      <c r="D141" s="35">
        <f>D138*15%</f>
        <v>0.94049999999999989</v>
      </c>
      <c r="E141" s="36">
        <f>E138</f>
        <v>256500</v>
      </c>
      <c r="F141" s="36">
        <f t="shared" ref="F141:F142" si="18">E141*D141</f>
        <v>241238.24999999997</v>
      </c>
      <c r="G141" s="30"/>
      <c r="H141" s="35">
        <f>15%*H138</f>
        <v>1.0154999999999998</v>
      </c>
      <c r="I141" s="44">
        <f t="shared" ref="I141:I142" si="19">H141*E141</f>
        <v>260475.74999999997</v>
      </c>
      <c r="J141" s="33"/>
      <c r="L141" s="35">
        <f>15%*L138</f>
        <v>0.86549999999999994</v>
      </c>
      <c r="M141" s="44">
        <f t="shared" ref="M141:M142" si="20">L141*E141</f>
        <v>222000.74999999997</v>
      </c>
      <c r="N141" s="48"/>
    </row>
    <row r="142" spans="1:14" x14ac:dyDescent="0.3">
      <c r="A142" s="1"/>
      <c r="B142" s="35" t="s">
        <v>256</v>
      </c>
      <c r="C142" s="34" t="s">
        <v>13</v>
      </c>
      <c r="D142" s="35">
        <f>15%*D139</f>
        <v>5.1945000000000006</v>
      </c>
      <c r="E142" s="36">
        <f>E139</f>
        <v>312930</v>
      </c>
      <c r="F142" s="36">
        <f t="shared" si="18"/>
        <v>1625514.8850000002</v>
      </c>
      <c r="G142" s="30"/>
      <c r="H142" s="35">
        <f>15%*H139</f>
        <v>5.2694999999999999</v>
      </c>
      <c r="I142" s="44">
        <f t="shared" si="19"/>
        <v>1648984.635</v>
      </c>
      <c r="J142" s="33"/>
      <c r="L142" s="35">
        <f>15%*L139</f>
        <v>5.1195000000000004</v>
      </c>
      <c r="M142" s="44">
        <f t="shared" si="20"/>
        <v>1602045.135</v>
      </c>
      <c r="N142" s="48"/>
    </row>
    <row r="143" spans="1:14" x14ac:dyDescent="0.3">
      <c r="A143" s="1">
        <v>2</v>
      </c>
      <c r="B143" s="33" t="s">
        <v>47</v>
      </c>
      <c r="C143" s="34"/>
      <c r="D143" s="35"/>
      <c r="E143" s="36"/>
      <c r="F143" s="37">
        <f>SUM(F144:F145)</f>
        <v>400960.00000000006</v>
      </c>
      <c r="G143" s="30"/>
      <c r="H143" s="35"/>
      <c r="I143" s="43">
        <f>SUM(I144:I145)</f>
        <v>410960.00000000006</v>
      </c>
      <c r="J143" s="43">
        <f>I143-F143</f>
        <v>10000</v>
      </c>
      <c r="L143" s="35"/>
      <c r="M143" s="43">
        <f>SUM(M144:M145)</f>
        <v>394080.00000000006</v>
      </c>
      <c r="N143" s="46">
        <f>F143-M143</f>
        <v>6880</v>
      </c>
    </row>
    <row r="144" spans="1:14" x14ac:dyDescent="0.3">
      <c r="A144" s="1" t="s">
        <v>248</v>
      </c>
      <c r="B144" s="35" t="s">
        <v>6</v>
      </c>
      <c r="C144" s="34" t="s">
        <v>14</v>
      </c>
      <c r="D144" s="35">
        <v>33.340000000000003</v>
      </c>
      <c r="E144" s="36">
        <f>'THIẾT BỊ'!F7</f>
        <v>12000</v>
      </c>
      <c r="F144" s="36">
        <f>E144*D144</f>
        <v>400080.00000000006</v>
      </c>
      <c r="G144" s="30"/>
      <c r="H144" s="35">
        <f>D144+0.5</f>
        <v>33.840000000000003</v>
      </c>
      <c r="I144" s="44">
        <f>H144*E144</f>
        <v>406080.00000000006</v>
      </c>
      <c r="J144" s="33"/>
      <c r="L144" s="35">
        <f>D144-0.5</f>
        <v>32.840000000000003</v>
      </c>
      <c r="M144" s="44">
        <f t="shared" ref="M144:M145" si="21">L144*E144</f>
        <v>394080.00000000006</v>
      </c>
      <c r="N144" s="48"/>
    </row>
    <row r="145" spans="1:14" x14ac:dyDescent="0.3">
      <c r="A145" s="1" t="s">
        <v>249</v>
      </c>
      <c r="B145" s="35" t="s">
        <v>7</v>
      </c>
      <c r="C145" s="34" t="s">
        <v>14</v>
      </c>
      <c r="D145" s="35">
        <v>0.11</v>
      </c>
      <c r="E145" s="36">
        <f>'THIẾT BỊ'!F8</f>
        <v>8000</v>
      </c>
      <c r="F145" s="36">
        <f>E145*D145</f>
        <v>880</v>
      </c>
      <c r="G145" s="30"/>
      <c r="H145" s="35">
        <f>D145+0.5</f>
        <v>0.61</v>
      </c>
      <c r="I145" s="44">
        <f>H145*E145</f>
        <v>4880</v>
      </c>
      <c r="J145" s="33"/>
      <c r="L145" s="35">
        <v>0</v>
      </c>
      <c r="M145" s="44">
        <f t="shared" si="21"/>
        <v>0</v>
      </c>
      <c r="N145" s="48"/>
    </row>
    <row r="146" spans="1:14" x14ac:dyDescent="0.3">
      <c r="A146" s="1">
        <v>3</v>
      </c>
      <c r="B146" s="33" t="s">
        <v>48</v>
      </c>
      <c r="C146" s="34"/>
      <c r="D146" s="35"/>
      <c r="E146" s="36"/>
      <c r="F146" s="37">
        <f>SUM(F147:F149)</f>
        <v>218200</v>
      </c>
      <c r="G146" s="30"/>
      <c r="H146" s="35"/>
      <c r="I146" s="43">
        <f>SUM(I147:I149)</f>
        <v>218200</v>
      </c>
      <c r="J146" s="43">
        <f>I146-F146</f>
        <v>0</v>
      </c>
      <c r="L146" s="35"/>
      <c r="M146" s="43">
        <f>SUM(M147:M149)</f>
        <v>218200</v>
      </c>
      <c r="N146" s="46">
        <f>F146-M146</f>
        <v>0</v>
      </c>
    </row>
    <row r="147" spans="1:14" x14ac:dyDescent="0.3">
      <c r="A147" s="1" t="s">
        <v>250</v>
      </c>
      <c r="B147" s="35" t="s">
        <v>9</v>
      </c>
      <c r="C147" s="34" t="s">
        <v>15</v>
      </c>
      <c r="D147" s="35">
        <v>0.54</v>
      </c>
      <c r="E147" s="36">
        <f>'VẬT LIỆU'!D5</f>
        <v>90000</v>
      </c>
      <c r="F147" s="36">
        <f>E147*D147</f>
        <v>48600</v>
      </c>
      <c r="G147" s="30"/>
      <c r="H147" s="35"/>
      <c r="I147" s="44">
        <f>E147*D147</f>
        <v>48600</v>
      </c>
      <c r="J147" s="33"/>
      <c r="L147" s="35"/>
      <c r="M147" s="44">
        <f>E147*D147</f>
        <v>48600</v>
      </c>
      <c r="N147" s="48"/>
    </row>
    <row r="148" spans="1:14" x14ac:dyDescent="0.3">
      <c r="A148" s="1" t="s">
        <v>251</v>
      </c>
      <c r="B148" s="35" t="s">
        <v>10</v>
      </c>
      <c r="C148" s="34" t="s">
        <v>16</v>
      </c>
      <c r="D148" s="35">
        <v>0.18</v>
      </c>
      <c r="E148" s="36">
        <f>'VẬT LIỆU'!D6</f>
        <v>900000</v>
      </c>
      <c r="F148" s="36">
        <f>E148*D148</f>
        <v>162000</v>
      </c>
      <c r="G148" s="30"/>
      <c r="H148" s="35"/>
      <c r="I148" s="44">
        <f t="shared" ref="I148:I149" si="22">E148*D148</f>
        <v>162000</v>
      </c>
      <c r="J148" s="33"/>
      <c r="L148" s="35"/>
      <c r="M148" s="44">
        <f t="shared" ref="M148:M149" si="23">E148*D148</f>
        <v>162000</v>
      </c>
      <c r="N148" s="48"/>
    </row>
    <row r="149" spans="1:14" x14ac:dyDescent="0.3">
      <c r="A149" s="1" t="s">
        <v>252</v>
      </c>
      <c r="B149" s="35" t="s">
        <v>257</v>
      </c>
      <c r="C149" s="34" t="s">
        <v>64</v>
      </c>
      <c r="D149" s="35">
        <v>38</v>
      </c>
      <c r="E149" s="36">
        <f>'VẬT LIỆU'!D14</f>
        <v>200</v>
      </c>
      <c r="F149" s="36">
        <f>E149*D149</f>
        <v>7600</v>
      </c>
      <c r="G149" s="30"/>
      <c r="H149" s="35"/>
      <c r="I149" s="44">
        <f t="shared" si="22"/>
        <v>7600</v>
      </c>
      <c r="J149" s="33"/>
      <c r="L149" s="35"/>
      <c r="M149" s="44">
        <f t="shared" si="23"/>
        <v>7600</v>
      </c>
      <c r="N149" s="48"/>
    </row>
    <row r="150" spans="1:14" x14ac:dyDescent="0.3">
      <c r="A150" s="1" t="s">
        <v>39</v>
      </c>
      <c r="B150" s="33" t="s">
        <v>11</v>
      </c>
      <c r="C150" s="34" t="s">
        <v>12</v>
      </c>
      <c r="D150" s="35">
        <v>15</v>
      </c>
      <c r="E150" s="36"/>
      <c r="F150" s="37">
        <f>F135*D150%</f>
        <v>2239640.10525</v>
      </c>
      <c r="G150" s="30"/>
      <c r="H150" s="35"/>
      <c r="I150" s="43">
        <f>D150%*I135</f>
        <v>2290253.4427499999</v>
      </c>
      <c r="J150" s="43">
        <f>I150-F150</f>
        <v>50613.337499999907</v>
      </c>
      <c r="L150" s="35"/>
      <c r="M150" s="43">
        <f>D150%*M135</f>
        <v>2189494.7677500001</v>
      </c>
      <c r="N150" s="46">
        <f>F150-M150</f>
        <v>50145.337499999907</v>
      </c>
    </row>
    <row r="151" spans="1:14" x14ac:dyDescent="0.3">
      <c r="A151" s="1"/>
      <c r="B151" s="49" t="s">
        <v>85</v>
      </c>
      <c r="C151" s="34"/>
      <c r="D151" s="35"/>
      <c r="E151" s="36"/>
      <c r="F151" s="37">
        <f>F150+F135</f>
        <v>17170574.140250001</v>
      </c>
      <c r="G151" s="30"/>
      <c r="I151" s="46">
        <f>I150+I135</f>
        <v>17558609.72775</v>
      </c>
      <c r="J151" s="46">
        <f>I151-F151</f>
        <v>388035.58749999851</v>
      </c>
      <c r="M151" s="46">
        <f>M150+M135</f>
        <v>16786126.552749999</v>
      </c>
      <c r="N151" s="46">
        <f>F151-M151</f>
        <v>384447.58750000224</v>
      </c>
    </row>
    <row r="152" spans="1:14" ht="45.6" customHeight="1" x14ac:dyDescent="0.3">
      <c r="A152" s="1"/>
      <c r="B152" s="45" t="s">
        <v>281</v>
      </c>
      <c r="C152" s="35"/>
      <c r="D152" s="35"/>
      <c r="E152" s="36"/>
      <c r="F152" s="47">
        <f>J151</f>
        <v>388035.58749999851</v>
      </c>
      <c r="G152" s="30"/>
    </row>
    <row r="153" spans="1:14" ht="56.25" x14ac:dyDescent="0.3">
      <c r="A153" s="1"/>
      <c r="B153" s="45" t="s">
        <v>282</v>
      </c>
      <c r="C153" s="35"/>
      <c r="D153" s="35"/>
      <c r="E153" s="36"/>
      <c r="F153" s="47">
        <f>N151</f>
        <v>384447.58750000224</v>
      </c>
      <c r="G153" s="30"/>
    </row>
    <row r="154" spans="1:14" x14ac:dyDescent="0.3">
      <c r="A154" s="28"/>
      <c r="B154" s="30"/>
      <c r="C154" s="30"/>
      <c r="D154" s="30"/>
      <c r="E154" s="31"/>
      <c r="F154" s="31"/>
      <c r="G154" s="30"/>
    </row>
    <row r="155" spans="1:14" x14ac:dyDescent="0.3">
      <c r="A155" s="20">
        <v>7</v>
      </c>
      <c r="B155" s="167" t="s">
        <v>258</v>
      </c>
      <c r="C155" s="167"/>
      <c r="D155" s="167"/>
      <c r="E155" s="167"/>
      <c r="F155" s="167"/>
      <c r="G155" s="30"/>
    </row>
    <row r="156" spans="1:14" ht="19.5" x14ac:dyDescent="0.3">
      <c r="A156" s="20"/>
      <c r="B156" s="168" t="s">
        <v>50</v>
      </c>
      <c r="C156" s="168"/>
      <c r="D156" s="168"/>
      <c r="E156" s="168"/>
      <c r="F156" s="168"/>
      <c r="G156" s="30"/>
    </row>
    <row r="157" spans="1:14" x14ac:dyDescent="0.3">
      <c r="A157" s="20"/>
      <c r="B157" s="156" t="s">
        <v>268</v>
      </c>
      <c r="C157" s="157"/>
      <c r="D157" s="157"/>
      <c r="E157" s="157"/>
      <c r="F157" s="157"/>
      <c r="G157" s="30"/>
    </row>
    <row r="158" spans="1:14" ht="31.9" customHeight="1" x14ac:dyDescent="0.3">
      <c r="A158" s="20"/>
      <c r="B158" s="156" t="s">
        <v>266</v>
      </c>
      <c r="C158" s="157"/>
      <c r="D158" s="157"/>
      <c r="E158" s="157"/>
      <c r="F158" s="157"/>
      <c r="G158" s="30"/>
    </row>
    <row r="159" spans="1:14" ht="38.1" customHeight="1" x14ac:dyDescent="0.3">
      <c r="A159" s="20"/>
      <c r="B159" s="156" t="s">
        <v>269</v>
      </c>
      <c r="C159" s="157"/>
      <c r="D159" s="157"/>
      <c r="E159" s="157"/>
      <c r="F159" s="157"/>
      <c r="G159" s="30"/>
    </row>
    <row r="160" spans="1:14" x14ac:dyDescent="0.3">
      <c r="A160" s="28"/>
      <c r="B160" s="30"/>
      <c r="C160" s="30"/>
      <c r="D160" s="30"/>
      <c r="E160" s="31"/>
      <c r="F160" s="31"/>
      <c r="G160" s="30"/>
      <c r="H160" s="35" t="s">
        <v>69</v>
      </c>
      <c r="L160" s="35" t="s">
        <v>70</v>
      </c>
    </row>
    <row r="161" spans="1:14" ht="37.5" x14ac:dyDescent="0.3">
      <c r="A161" s="1" t="s">
        <v>0</v>
      </c>
      <c r="B161" s="1" t="s">
        <v>1</v>
      </c>
      <c r="C161" s="1" t="s">
        <v>2</v>
      </c>
      <c r="D161" s="1" t="s">
        <v>3</v>
      </c>
      <c r="E161" s="32" t="s">
        <v>36</v>
      </c>
      <c r="F161" s="32" t="s">
        <v>27</v>
      </c>
      <c r="G161" s="30"/>
      <c r="H161" s="1" t="s">
        <v>3</v>
      </c>
      <c r="I161" s="32" t="s">
        <v>36</v>
      </c>
      <c r="J161" s="43"/>
      <c r="L161" s="1" t="s">
        <v>3</v>
      </c>
      <c r="M161" s="32" t="s">
        <v>36</v>
      </c>
    </row>
    <row r="162" spans="1:14" x14ac:dyDescent="0.3">
      <c r="A162" s="1" t="s">
        <v>38</v>
      </c>
      <c r="B162" s="33" t="s">
        <v>4</v>
      </c>
      <c r="C162" s="34"/>
      <c r="D162" s="35"/>
      <c r="E162" s="36"/>
      <c r="F162" s="37">
        <f>F163+F170+F173</f>
        <v>9800113.5925000012</v>
      </c>
      <c r="G162" s="30"/>
      <c r="H162" s="35"/>
      <c r="I162" s="43">
        <f>I163+I170+I173</f>
        <v>10169983.092499999</v>
      </c>
      <c r="J162" s="44"/>
      <c r="L162" s="35"/>
      <c r="M162" s="43">
        <f>M163+M170+M173</f>
        <v>9433844.0925000012</v>
      </c>
    </row>
    <row r="163" spans="1:14" x14ac:dyDescent="0.3">
      <c r="A163" s="1">
        <v>1</v>
      </c>
      <c r="B163" s="33" t="s">
        <v>46</v>
      </c>
      <c r="C163" s="34"/>
      <c r="D163" s="35"/>
      <c r="E163" s="36"/>
      <c r="F163" s="37">
        <f>F164+F167</f>
        <v>9379113.5925000012</v>
      </c>
      <c r="G163" s="30"/>
      <c r="H163" s="35"/>
      <c r="I163" s="43">
        <f>I164+I167</f>
        <v>9738983.0924999993</v>
      </c>
      <c r="J163" s="43">
        <f>I163-F163</f>
        <v>359869.49999999814</v>
      </c>
      <c r="L163" s="35"/>
      <c r="M163" s="43">
        <f>M164+M167</f>
        <v>9019244.0925000012</v>
      </c>
      <c r="N163" s="46">
        <f>F163-M163</f>
        <v>359869.5</v>
      </c>
    </row>
    <row r="164" spans="1:14" x14ac:dyDescent="0.3">
      <c r="A164" s="1" t="s">
        <v>141</v>
      </c>
      <c r="B164" s="35" t="s">
        <v>5</v>
      </c>
      <c r="C164" s="34"/>
      <c r="D164" s="35"/>
      <c r="E164" s="36"/>
      <c r="F164" s="36">
        <f>F165+F166</f>
        <v>8155750.9500000002</v>
      </c>
      <c r="G164" s="30"/>
      <c r="H164" s="35"/>
      <c r="I164" s="44">
        <f>SUM(I165:I166)</f>
        <v>8468680.9499999993</v>
      </c>
      <c r="J164" s="33"/>
      <c r="L164" s="35"/>
      <c r="M164" s="44">
        <f>SUM(M165:M166)</f>
        <v>7842820.9500000002</v>
      </c>
      <c r="N164" s="48"/>
    </row>
    <row r="165" spans="1:14" x14ac:dyDescent="0.3">
      <c r="A165" s="1"/>
      <c r="B165" s="35" t="s">
        <v>17</v>
      </c>
      <c r="C165" s="34" t="s">
        <v>13</v>
      </c>
      <c r="D165" s="53">
        <v>20.21</v>
      </c>
      <c r="E165" s="36">
        <f>'NHÂN CÔNG'!G8</f>
        <v>284715</v>
      </c>
      <c r="F165" s="36">
        <f>D165*E165</f>
        <v>5754090.1500000004</v>
      </c>
      <c r="G165" s="30"/>
      <c r="H165" s="54">
        <f>D165+0.5</f>
        <v>20.71</v>
      </c>
      <c r="I165" s="44">
        <f>H165*E165</f>
        <v>5896447.6500000004</v>
      </c>
      <c r="J165" s="33"/>
      <c r="L165" s="54">
        <f>D165-0.5</f>
        <v>19.71</v>
      </c>
      <c r="M165" s="44">
        <f>L165*E165</f>
        <v>5611732.6500000004</v>
      </c>
      <c r="N165" s="48"/>
    </row>
    <row r="166" spans="1:14" x14ac:dyDescent="0.3">
      <c r="A166" s="1"/>
      <c r="B166" s="35" t="s">
        <v>18</v>
      </c>
      <c r="C166" s="34" t="s">
        <v>13</v>
      </c>
      <c r="D166" s="53">
        <v>7.04</v>
      </c>
      <c r="E166" s="36">
        <f>'NHÂN CÔNG'!G10</f>
        <v>341145</v>
      </c>
      <c r="F166" s="36">
        <f>E166*D166</f>
        <v>2401660.7999999998</v>
      </c>
      <c r="G166" s="30"/>
      <c r="H166" s="54">
        <f>D166+0.5</f>
        <v>7.54</v>
      </c>
      <c r="I166" s="44">
        <f t="shared" ref="I166" si="24">H166*E166</f>
        <v>2572233.2999999998</v>
      </c>
      <c r="J166" s="33"/>
      <c r="L166" s="54">
        <f>D166-0.5</f>
        <v>6.54</v>
      </c>
      <c r="M166" s="44">
        <f>L166*E166</f>
        <v>2231088.2999999998</v>
      </c>
      <c r="N166" s="48"/>
    </row>
    <row r="167" spans="1:14" x14ac:dyDescent="0.3">
      <c r="A167" s="1" t="s">
        <v>142</v>
      </c>
      <c r="B167" s="35" t="s">
        <v>19</v>
      </c>
      <c r="C167" s="34"/>
      <c r="D167" s="35"/>
      <c r="E167" s="36"/>
      <c r="F167" s="36">
        <f>F168+F169</f>
        <v>1223362.6425000001</v>
      </c>
      <c r="G167" s="30"/>
      <c r="H167" s="35"/>
      <c r="I167" s="44">
        <f>SUM(I168:I169)</f>
        <v>1270302.1425000001</v>
      </c>
      <c r="J167" s="33"/>
      <c r="L167" s="35"/>
      <c r="M167" s="44">
        <f>SUM(M168:M169)</f>
        <v>1176423.1425000001</v>
      </c>
      <c r="N167" s="48"/>
    </row>
    <row r="168" spans="1:14" x14ac:dyDescent="0.3">
      <c r="A168" s="1"/>
      <c r="B168" s="35" t="s">
        <v>17</v>
      </c>
      <c r="C168" s="34" t="s">
        <v>13</v>
      </c>
      <c r="D168" s="35">
        <f>D165*15%</f>
        <v>3.0314999999999999</v>
      </c>
      <c r="E168" s="36">
        <f>E165</f>
        <v>284715</v>
      </c>
      <c r="F168" s="36">
        <f>E168*D168</f>
        <v>863113.52249999996</v>
      </c>
      <c r="G168" s="30"/>
      <c r="H168" s="54">
        <f>15%*H165</f>
        <v>3.1065</v>
      </c>
      <c r="I168" s="44">
        <f t="shared" ref="I168:I169" si="25">H168*E168</f>
        <v>884467.14749999996</v>
      </c>
      <c r="J168" s="33"/>
      <c r="L168" s="54">
        <f>15%*L165</f>
        <v>2.9565000000000001</v>
      </c>
      <c r="M168" s="44">
        <f>L168*E168</f>
        <v>841759.89750000008</v>
      </c>
      <c r="N168" s="48"/>
    </row>
    <row r="169" spans="1:14" x14ac:dyDescent="0.3">
      <c r="A169" s="1"/>
      <c r="B169" s="35" t="s">
        <v>18</v>
      </c>
      <c r="C169" s="34" t="s">
        <v>13</v>
      </c>
      <c r="D169" s="55">
        <f>D166*15%</f>
        <v>1.056</v>
      </c>
      <c r="E169" s="36">
        <f>E166</f>
        <v>341145</v>
      </c>
      <c r="F169" s="36">
        <f>E169*D169</f>
        <v>360249.12</v>
      </c>
      <c r="G169" s="30"/>
      <c r="H169" s="54">
        <f>15%*H166</f>
        <v>1.131</v>
      </c>
      <c r="I169" s="44">
        <f t="shared" si="25"/>
        <v>385834.995</v>
      </c>
      <c r="J169" s="33"/>
      <c r="L169" s="54">
        <f>15%*L166</f>
        <v>0.98099999999999998</v>
      </c>
      <c r="M169" s="44">
        <f t="shared" ref="M169" si="26">L169*E169</f>
        <v>334663.245</v>
      </c>
      <c r="N169" s="48"/>
    </row>
    <row r="170" spans="1:14" x14ac:dyDescent="0.3">
      <c r="A170" s="1">
        <v>2</v>
      </c>
      <c r="B170" s="33" t="s">
        <v>47</v>
      </c>
      <c r="C170" s="34"/>
      <c r="D170" s="35"/>
      <c r="E170" s="36"/>
      <c r="F170" s="37">
        <f>SUM(F171:F172)</f>
        <v>327400</v>
      </c>
      <c r="G170" s="30"/>
      <c r="H170" s="35"/>
      <c r="I170" s="43">
        <f>SUM(I171:I172)</f>
        <v>337400</v>
      </c>
      <c r="J170" s="43">
        <f>I170-F170</f>
        <v>10000</v>
      </c>
      <c r="L170" s="35"/>
      <c r="M170" s="43">
        <f>SUM(M171:M172)</f>
        <v>321000</v>
      </c>
      <c r="N170" s="46">
        <f>F170-M170</f>
        <v>6400</v>
      </c>
    </row>
    <row r="171" spans="1:14" x14ac:dyDescent="0.3">
      <c r="A171" s="1" t="s">
        <v>248</v>
      </c>
      <c r="B171" s="35" t="s">
        <v>6</v>
      </c>
      <c r="C171" s="34" t="s">
        <v>14</v>
      </c>
      <c r="D171" s="35">
        <v>27.25</v>
      </c>
      <c r="E171" s="36">
        <f>'THIẾT BỊ'!F7</f>
        <v>12000</v>
      </c>
      <c r="F171" s="36">
        <f>E171*D171</f>
        <v>327000</v>
      </c>
      <c r="G171" s="30"/>
      <c r="H171" s="35">
        <f>D171+0.5</f>
        <v>27.75</v>
      </c>
      <c r="I171" s="44">
        <f>H171*E171</f>
        <v>333000</v>
      </c>
      <c r="J171" s="33"/>
      <c r="L171" s="35">
        <f>D171-0.5</f>
        <v>26.75</v>
      </c>
      <c r="M171" s="44">
        <f t="shared" ref="M171:M172" si="27">L171*E171</f>
        <v>321000</v>
      </c>
      <c r="N171" s="48"/>
    </row>
    <row r="172" spans="1:14" x14ac:dyDescent="0.3">
      <c r="A172" s="1" t="s">
        <v>249</v>
      </c>
      <c r="B172" s="35" t="s">
        <v>7</v>
      </c>
      <c r="C172" s="34" t="s">
        <v>14</v>
      </c>
      <c r="D172" s="35">
        <v>0.05</v>
      </c>
      <c r="E172" s="36">
        <f>'THIẾT BỊ'!F8</f>
        <v>8000</v>
      </c>
      <c r="F172" s="36">
        <f>E172*D172</f>
        <v>400</v>
      </c>
      <c r="G172" s="30"/>
      <c r="H172" s="35">
        <f>D172+0.5</f>
        <v>0.55000000000000004</v>
      </c>
      <c r="I172" s="44">
        <f>E172*H172</f>
        <v>4400</v>
      </c>
      <c r="J172" s="33"/>
      <c r="L172" s="35">
        <v>0</v>
      </c>
      <c r="M172" s="44">
        <f t="shared" si="27"/>
        <v>0</v>
      </c>
      <c r="N172" s="48"/>
    </row>
    <row r="173" spans="1:14" x14ac:dyDescent="0.3">
      <c r="A173" s="1">
        <v>3</v>
      </c>
      <c r="B173" s="33" t="s">
        <v>48</v>
      </c>
      <c r="C173" s="34"/>
      <c r="D173" s="35"/>
      <c r="E173" s="36"/>
      <c r="F173" s="37">
        <f>SUM(F174:F175)</f>
        <v>93600</v>
      </c>
      <c r="G173" s="30"/>
      <c r="H173" s="35"/>
      <c r="I173" s="43">
        <f>SUM(I174:I175)</f>
        <v>93600</v>
      </c>
      <c r="J173" s="43">
        <f>I173-F173</f>
        <v>0</v>
      </c>
      <c r="L173" s="35"/>
      <c r="M173" s="43">
        <f>SUM(M174:M175)</f>
        <v>93600</v>
      </c>
      <c r="N173" s="46">
        <f>F173-M173</f>
        <v>0</v>
      </c>
    </row>
    <row r="174" spans="1:14" x14ac:dyDescent="0.3">
      <c r="A174" s="1" t="s">
        <v>250</v>
      </c>
      <c r="B174" s="35" t="s">
        <v>9</v>
      </c>
      <c r="C174" s="34" t="s">
        <v>15</v>
      </c>
      <c r="D174" s="35">
        <v>0.24</v>
      </c>
      <c r="E174" s="36">
        <f>'VẬT LIỆU'!D5</f>
        <v>90000</v>
      </c>
      <c r="F174" s="36">
        <f>E174*D174</f>
        <v>21600</v>
      </c>
      <c r="G174" s="30"/>
      <c r="H174" s="35"/>
      <c r="I174" s="44">
        <f>F174</f>
        <v>21600</v>
      </c>
      <c r="J174" s="33"/>
      <c r="L174" s="35"/>
      <c r="M174" s="44">
        <f>I174</f>
        <v>21600</v>
      </c>
      <c r="N174" s="48"/>
    </row>
    <row r="175" spans="1:14" x14ac:dyDescent="0.3">
      <c r="A175" s="1" t="s">
        <v>251</v>
      </c>
      <c r="B175" s="35" t="s">
        <v>10</v>
      </c>
      <c r="C175" s="34" t="s">
        <v>16</v>
      </c>
      <c r="D175" s="35">
        <v>0.08</v>
      </c>
      <c r="E175" s="36">
        <f>'VẬT LIỆU'!D6</f>
        <v>900000</v>
      </c>
      <c r="F175" s="36">
        <f>E175*D175</f>
        <v>72000</v>
      </c>
      <c r="G175" s="30"/>
      <c r="H175" s="35"/>
      <c r="I175" s="44">
        <f>F175</f>
        <v>72000</v>
      </c>
      <c r="J175" s="33"/>
      <c r="L175" s="35"/>
      <c r="M175" s="44">
        <f>I175</f>
        <v>72000</v>
      </c>
      <c r="N175" s="48"/>
    </row>
    <row r="176" spans="1:14" x14ac:dyDescent="0.3">
      <c r="A176" s="1" t="s">
        <v>39</v>
      </c>
      <c r="B176" s="33" t="s">
        <v>11</v>
      </c>
      <c r="C176" s="34" t="s">
        <v>12</v>
      </c>
      <c r="D176" s="35">
        <v>15</v>
      </c>
      <c r="E176" s="36"/>
      <c r="F176" s="37">
        <f>F162*D176%</f>
        <v>1470017.0388750001</v>
      </c>
      <c r="G176" s="30"/>
      <c r="H176" s="35"/>
      <c r="I176" s="43">
        <f>D176%*I162</f>
        <v>1525497.4638749999</v>
      </c>
      <c r="J176" s="43">
        <f>I176-F176</f>
        <v>55480.424999999814</v>
      </c>
      <c r="L176" s="35"/>
      <c r="M176" s="43">
        <f>D176%*M162</f>
        <v>1415076.613875</v>
      </c>
      <c r="N176" s="46">
        <f>F176-M176</f>
        <v>54940.425000000047</v>
      </c>
    </row>
    <row r="177" spans="1:14" x14ac:dyDescent="0.3">
      <c r="A177" s="1"/>
      <c r="B177" s="49" t="s">
        <v>85</v>
      </c>
      <c r="C177" s="34"/>
      <c r="D177" s="35"/>
      <c r="E177" s="36"/>
      <c r="F177" s="37">
        <f>F176+F162</f>
        <v>11270130.631375002</v>
      </c>
      <c r="G177" s="30"/>
      <c r="I177" s="46">
        <f>I176+I162</f>
        <v>11695480.556374999</v>
      </c>
      <c r="J177" s="46">
        <f>I177-F177</f>
        <v>425349.92499999702</v>
      </c>
      <c r="M177" s="46">
        <f>M176+M162</f>
        <v>10848920.706375001</v>
      </c>
      <c r="N177" s="46">
        <f>F177-M177</f>
        <v>421209.92500000075</v>
      </c>
    </row>
    <row r="178" spans="1:14" ht="42.6" customHeight="1" x14ac:dyDescent="0.3">
      <c r="A178" s="1"/>
      <c r="B178" s="49" t="s">
        <v>281</v>
      </c>
      <c r="C178" s="35"/>
      <c r="D178" s="35"/>
      <c r="E178" s="36"/>
      <c r="F178" s="47">
        <f>J177</f>
        <v>425349.92499999702</v>
      </c>
      <c r="G178" s="30"/>
    </row>
    <row r="179" spans="1:14" ht="56.25" x14ac:dyDescent="0.3">
      <c r="A179" s="1"/>
      <c r="B179" s="49" t="s">
        <v>282</v>
      </c>
      <c r="C179" s="35"/>
      <c r="D179" s="35"/>
      <c r="E179" s="36"/>
      <c r="F179" s="47">
        <f>N177</f>
        <v>421209.92500000075</v>
      </c>
      <c r="G179" s="30"/>
    </row>
    <row r="180" spans="1:14" x14ac:dyDescent="0.3">
      <c r="A180" s="28"/>
      <c r="B180" s="30"/>
      <c r="C180" s="30"/>
      <c r="D180" s="30"/>
      <c r="E180" s="31"/>
      <c r="F180" s="31"/>
      <c r="G180" s="30"/>
    </row>
    <row r="181" spans="1:14" x14ac:dyDescent="0.3">
      <c r="A181" s="28">
        <v>8</v>
      </c>
      <c r="B181" s="48" t="s">
        <v>259</v>
      </c>
      <c r="C181" s="30"/>
      <c r="D181" s="30"/>
      <c r="E181" s="31"/>
      <c r="F181" s="31"/>
      <c r="G181" s="30"/>
    </row>
    <row r="182" spans="1:14" ht="19.5" x14ac:dyDescent="0.35">
      <c r="A182" s="28"/>
      <c r="B182" s="59" t="s">
        <v>284</v>
      </c>
      <c r="C182" s="30"/>
      <c r="D182" s="30"/>
      <c r="E182" s="31"/>
      <c r="F182" s="31"/>
      <c r="G182" s="30"/>
    </row>
    <row r="183" spans="1:14" x14ac:dyDescent="0.3">
      <c r="A183" s="28"/>
      <c r="B183" s="48"/>
      <c r="C183" s="30"/>
      <c r="D183" s="30"/>
      <c r="E183" s="31"/>
      <c r="F183" s="31"/>
      <c r="G183" s="30"/>
    </row>
    <row r="184" spans="1:14" ht="37.5" x14ac:dyDescent="0.3">
      <c r="A184" s="1" t="s">
        <v>0</v>
      </c>
      <c r="B184" s="1" t="s">
        <v>1</v>
      </c>
      <c r="C184" s="1" t="s">
        <v>2</v>
      </c>
      <c r="D184" s="1" t="s">
        <v>3</v>
      </c>
      <c r="E184" s="32" t="s">
        <v>36</v>
      </c>
      <c r="F184" s="32" t="s">
        <v>27</v>
      </c>
      <c r="G184" s="30"/>
    </row>
    <row r="185" spans="1:14" x14ac:dyDescent="0.3">
      <c r="A185" s="1" t="s">
        <v>38</v>
      </c>
      <c r="B185" s="33" t="s">
        <v>4</v>
      </c>
      <c r="C185" s="34"/>
      <c r="D185" s="35"/>
      <c r="E185" s="36"/>
      <c r="F185" s="37">
        <f>F186+F193+F196</f>
        <v>371245.06599999999</v>
      </c>
      <c r="G185" s="30"/>
    </row>
    <row r="186" spans="1:14" x14ac:dyDescent="0.3">
      <c r="A186" s="1">
        <v>1</v>
      </c>
      <c r="B186" s="33" t="s">
        <v>46</v>
      </c>
      <c r="C186" s="34"/>
      <c r="D186" s="35"/>
      <c r="E186" s="36"/>
      <c r="F186" s="37">
        <f>F187+F190</f>
        <v>355551.06599999999</v>
      </c>
      <c r="G186" s="30"/>
    </row>
    <row r="187" spans="1:14" x14ac:dyDescent="0.3">
      <c r="A187" s="1" t="s">
        <v>141</v>
      </c>
      <c r="B187" s="35" t="s">
        <v>87</v>
      </c>
      <c r="C187" s="34"/>
      <c r="D187" s="35"/>
      <c r="E187" s="36"/>
      <c r="F187" s="36">
        <f>F188+F189</f>
        <v>309174.83999999997</v>
      </c>
      <c r="G187" s="30"/>
    </row>
    <row r="188" spans="1:14" x14ac:dyDescent="0.3">
      <c r="A188" s="1"/>
      <c r="B188" s="35" t="s">
        <v>255</v>
      </c>
      <c r="C188" s="34" t="s">
        <v>13</v>
      </c>
      <c r="D188" s="35">
        <v>0.61</v>
      </c>
      <c r="E188" s="36">
        <f>'NHÂN CÔNG'!G7</f>
        <v>256500</v>
      </c>
      <c r="F188" s="36">
        <f>E188*D188</f>
        <v>156465</v>
      </c>
      <c r="G188" s="30"/>
    </row>
    <row r="189" spans="1:14" x14ac:dyDescent="0.3">
      <c r="A189" s="1"/>
      <c r="B189" s="35" t="s">
        <v>256</v>
      </c>
      <c r="C189" s="34" t="s">
        <v>13</v>
      </c>
      <c r="D189" s="35">
        <v>0.48799999999999999</v>
      </c>
      <c r="E189" s="36">
        <f>'NHÂN CÔNG'!G9</f>
        <v>312930</v>
      </c>
      <c r="F189" s="36">
        <f t="shared" ref="F189" si="28">E189*D189</f>
        <v>152709.84</v>
      </c>
      <c r="G189" s="30"/>
    </row>
    <row r="190" spans="1:14" x14ac:dyDescent="0.3">
      <c r="A190" s="1" t="s">
        <v>142</v>
      </c>
      <c r="B190" s="35" t="s">
        <v>19</v>
      </c>
      <c r="C190" s="34"/>
      <c r="D190" s="35"/>
      <c r="E190" s="36"/>
      <c r="F190" s="36">
        <f>F191+F192</f>
        <v>46376.225999999995</v>
      </c>
      <c r="G190" s="30"/>
    </row>
    <row r="191" spans="1:14" x14ac:dyDescent="0.3">
      <c r="A191" s="1"/>
      <c r="B191" s="35" t="s">
        <v>255</v>
      </c>
      <c r="C191" s="34" t="s">
        <v>13</v>
      </c>
      <c r="D191" s="35">
        <f>D188*15%</f>
        <v>9.1499999999999998E-2</v>
      </c>
      <c r="E191" s="36">
        <f>E188</f>
        <v>256500</v>
      </c>
      <c r="F191" s="36">
        <f t="shared" ref="F191:F192" si="29">E191*D191</f>
        <v>23469.75</v>
      </c>
      <c r="G191" s="30"/>
    </row>
    <row r="192" spans="1:14" x14ac:dyDescent="0.3">
      <c r="A192" s="1"/>
      <c r="B192" s="35" t="s">
        <v>256</v>
      </c>
      <c r="C192" s="34" t="s">
        <v>13</v>
      </c>
      <c r="D192" s="35">
        <f>15%*D189</f>
        <v>7.3200000000000001E-2</v>
      </c>
      <c r="E192" s="36">
        <f>E189</f>
        <v>312930</v>
      </c>
      <c r="F192" s="36">
        <f t="shared" si="29"/>
        <v>22906.475999999999</v>
      </c>
      <c r="G192" s="30"/>
    </row>
    <row r="193" spans="1:7" x14ac:dyDescent="0.3">
      <c r="A193" s="1">
        <v>2</v>
      </c>
      <c r="B193" s="33" t="s">
        <v>47</v>
      </c>
      <c r="C193" s="34"/>
      <c r="D193" s="35"/>
      <c r="E193" s="36"/>
      <c r="F193" s="37">
        <f>SUM(F194:F195)</f>
        <v>12184</v>
      </c>
      <c r="G193" s="30"/>
    </row>
    <row r="194" spans="1:7" x14ac:dyDescent="0.3">
      <c r="A194" s="1" t="s">
        <v>248</v>
      </c>
      <c r="B194" s="35" t="s">
        <v>6</v>
      </c>
      <c r="C194" s="34" t="s">
        <v>14</v>
      </c>
      <c r="D194" s="35">
        <v>1.014</v>
      </c>
      <c r="E194" s="36">
        <f>'THIẾT BỊ'!F7</f>
        <v>12000</v>
      </c>
      <c r="F194" s="36">
        <f>E194*D194</f>
        <v>12168</v>
      </c>
      <c r="G194" s="30"/>
    </row>
    <row r="195" spans="1:7" x14ac:dyDescent="0.3">
      <c r="A195" s="1" t="s">
        <v>249</v>
      </c>
      <c r="B195" s="35" t="s">
        <v>7</v>
      </c>
      <c r="C195" s="34" t="s">
        <v>14</v>
      </c>
      <c r="D195" s="35">
        <v>2E-3</v>
      </c>
      <c r="E195" s="36">
        <f>'THIẾT BỊ'!F8</f>
        <v>8000</v>
      </c>
      <c r="F195" s="36">
        <f>E195*D195</f>
        <v>16</v>
      </c>
      <c r="G195" s="30"/>
    </row>
    <row r="196" spans="1:7" x14ac:dyDescent="0.3">
      <c r="A196" s="1">
        <v>3</v>
      </c>
      <c r="B196" s="33" t="s">
        <v>48</v>
      </c>
      <c r="C196" s="34"/>
      <c r="D196" s="35"/>
      <c r="E196" s="36"/>
      <c r="F196" s="37">
        <f>SUM(F197:F198)</f>
        <v>3510</v>
      </c>
      <c r="G196" s="30"/>
    </row>
    <row r="197" spans="1:7" x14ac:dyDescent="0.3">
      <c r="A197" s="1" t="s">
        <v>250</v>
      </c>
      <c r="B197" s="35" t="s">
        <v>9</v>
      </c>
      <c r="C197" s="34" t="s">
        <v>15</v>
      </c>
      <c r="D197" s="35">
        <v>8.9999999999999993E-3</v>
      </c>
      <c r="E197" s="36">
        <f>'VẬT LIỆU'!D5</f>
        <v>90000</v>
      </c>
      <c r="F197" s="36">
        <f>E197*D197</f>
        <v>809.99999999999989</v>
      </c>
      <c r="G197" s="30"/>
    </row>
    <row r="198" spans="1:7" x14ac:dyDescent="0.3">
      <c r="A198" s="1" t="s">
        <v>251</v>
      </c>
      <c r="B198" s="35" t="s">
        <v>10</v>
      </c>
      <c r="C198" s="34" t="s">
        <v>16</v>
      </c>
      <c r="D198" s="35">
        <v>3.0000000000000001E-3</v>
      </c>
      <c r="E198" s="36">
        <f>'VẬT LIỆU'!D6</f>
        <v>900000</v>
      </c>
      <c r="F198" s="36">
        <f>E198*D198</f>
        <v>2700</v>
      </c>
      <c r="G198" s="30"/>
    </row>
    <row r="199" spans="1:7" x14ac:dyDescent="0.3">
      <c r="A199" s="1" t="s">
        <v>39</v>
      </c>
      <c r="B199" s="33" t="s">
        <v>11</v>
      </c>
      <c r="C199" s="34" t="s">
        <v>12</v>
      </c>
      <c r="D199" s="35">
        <v>15</v>
      </c>
      <c r="E199" s="36"/>
      <c r="F199" s="37">
        <f>F185*D199%</f>
        <v>55686.759899999997</v>
      </c>
      <c r="G199" s="30"/>
    </row>
    <row r="200" spans="1:7" x14ac:dyDescent="0.3">
      <c r="A200" s="1"/>
      <c r="B200" s="49" t="s">
        <v>85</v>
      </c>
      <c r="C200" s="34"/>
      <c r="D200" s="35"/>
      <c r="E200" s="36"/>
      <c r="F200" s="37">
        <f>F199+F185</f>
        <v>426931.8259</v>
      </c>
      <c r="G200" s="30"/>
    </row>
    <row r="201" spans="1:7" x14ac:dyDescent="0.3">
      <c r="A201" s="28"/>
      <c r="B201" s="50"/>
      <c r="C201" s="40"/>
      <c r="D201" s="30"/>
      <c r="E201" s="41"/>
      <c r="F201" s="42"/>
      <c r="G201" s="30"/>
    </row>
    <row r="202" spans="1:7" x14ac:dyDescent="0.3">
      <c r="A202" s="28" t="s">
        <v>39</v>
      </c>
      <c r="B202" s="48" t="s">
        <v>271</v>
      </c>
      <c r="C202" s="39"/>
      <c r="D202" s="48"/>
      <c r="E202" s="42"/>
      <c r="F202" s="42"/>
      <c r="G202" s="30"/>
    </row>
    <row r="203" spans="1:7" x14ac:dyDescent="0.3">
      <c r="A203" s="28">
        <v>1</v>
      </c>
      <c r="B203" s="48" t="s">
        <v>272</v>
      </c>
      <c r="C203" s="39"/>
      <c r="D203" s="48"/>
      <c r="E203" s="42"/>
      <c r="F203" s="42"/>
      <c r="G203" s="30"/>
    </row>
    <row r="204" spans="1:7" ht="19.5" x14ac:dyDescent="0.35">
      <c r="A204" s="28"/>
      <c r="B204" s="59" t="s">
        <v>273</v>
      </c>
      <c r="C204" s="40"/>
      <c r="D204" s="30"/>
      <c r="E204" s="41"/>
      <c r="F204" s="42"/>
      <c r="G204" s="30"/>
    </row>
    <row r="205" spans="1:7" x14ac:dyDescent="0.3">
      <c r="A205" s="60"/>
      <c r="B205" s="30"/>
      <c r="C205" s="30"/>
      <c r="D205" s="30"/>
      <c r="E205" s="41"/>
      <c r="F205" s="42"/>
      <c r="G205" s="30"/>
    </row>
    <row r="206" spans="1:7" ht="37.5" x14ac:dyDescent="0.3">
      <c r="A206" s="1" t="s">
        <v>0</v>
      </c>
      <c r="B206" s="1" t="s">
        <v>1</v>
      </c>
      <c r="C206" s="1" t="s">
        <v>2</v>
      </c>
      <c r="D206" s="1" t="s">
        <v>3</v>
      </c>
      <c r="E206" s="32" t="s">
        <v>36</v>
      </c>
      <c r="F206" s="32" t="s">
        <v>27</v>
      </c>
      <c r="G206" s="30"/>
    </row>
    <row r="207" spans="1:7" x14ac:dyDescent="0.3">
      <c r="A207" s="1" t="s">
        <v>38</v>
      </c>
      <c r="B207" s="33" t="s">
        <v>4</v>
      </c>
      <c r="C207" s="34"/>
      <c r="D207" s="35"/>
      <c r="E207" s="36"/>
      <c r="F207" s="37">
        <f>F208+F215+F219</f>
        <v>2852160.5</v>
      </c>
      <c r="G207" s="30"/>
    </row>
    <row r="208" spans="1:7" x14ac:dyDescent="0.3">
      <c r="A208" s="1">
        <v>1</v>
      </c>
      <c r="B208" s="33" t="s">
        <v>46</v>
      </c>
      <c r="C208" s="34"/>
      <c r="D208" s="35"/>
      <c r="E208" s="36"/>
      <c r="F208" s="37">
        <f>F209+F212</f>
        <v>2731468.5</v>
      </c>
      <c r="G208" s="30"/>
    </row>
    <row r="209" spans="1:7" x14ac:dyDescent="0.3">
      <c r="A209" s="1" t="s">
        <v>141</v>
      </c>
      <c r="B209" s="35" t="s">
        <v>87</v>
      </c>
      <c r="C209" s="34"/>
      <c r="D209" s="35"/>
      <c r="E209" s="36"/>
      <c r="F209" s="36">
        <f>F210+F211</f>
        <v>2375190</v>
      </c>
      <c r="G209" s="30"/>
    </row>
    <row r="210" spans="1:7" x14ac:dyDescent="0.3">
      <c r="A210" s="1"/>
      <c r="B210" s="35" t="s">
        <v>88</v>
      </c>
      <c r="C210" s="34" t="s">
        <v>13</v>
      </c>
      <c r="D210" s="35">
        <v>8.0399999999999991</v>
      </c>
      <c r="E210" s="36">
        <f>'NHÂN CÔNG'!G7</f>
        <v>256500</v>
      </c>
      <c r="F210" s="36">
        <f>E210*D210</f>
        <v>2062259.9999999998</v>
      </c>
      <c r="G210" s="30"/>
    </row>
    <row r="211" spans="1:7" x14ac:dyDescent="0.3">
      <c r="A211" s="1"/>
      <c r="B211" s="35" t="s">
        <v>90</v>
      </c>
      <c r="C211" s="34" t="s">
        <v>13</v>
      </c>
      <c r="D211" s="35">
        <v>1</v>
      </c>
      <c r="E211" s="36">
        <f>'NHÂN CÔNG'!G9</f>
        <v>312930</v>
      </c>
      <c r="F211" s="36">
        <f t="shared" ref="F211" si="30">E211*D211</f>
        <v>312930</v>
      </c>
      <c r="G211" s="30"/>
    </row>
    <row r="212" spans="1:7" x14ac:dyDescent="0.3">
      <c r="A212" s="1" t="s">
        <v>142</v>
      </c>
      <c r="B212" s="35" t="s">
        <v>19</v>
      </c>
      <c r="C212" s="34"/>
      <c r="D212" s="35"/>
      <c r="E212" s="36"/>
      <c r="F212" s="36">
        <f>F213+F214</f>
        <v>356278.49999999994</v>
      </c>
      <c r="G212" s="30"/>
    </row>
    <row r="213" spans="1:7" x14ac:dyDescent="0.3">
      <c r="A213" s="1"/>
      <c r="B213" s="35" t="s">
        <v>88</v>
      </c>
      <c r="C213" s="34" t="s">
        <v>13</v>
      </c>
      <c r="D213" s="35">
        <f>D210*15%</f>
        <v>1.2059999999999997</v>
      </c>
      <c r="E213" s="36">
        <f>E210</f>
        <v>256500</v>
      </c>
      <c r="F213" s="36">
        <f t="shared" ref="F213:F214" si="31">E213*D213</f>
        <v>309338.99999999994</v>
      </c>
      <c r="G213" s="30"/>
    </row>
    <row r="214" spans="1:7" x14ac:dyDescent="0.3">
      <c r="A214" s="1"/>
      <c r="B214" s="35" t="s">
        <v>90</v>
      </c>
      <c r="C214" s="34" t="s">
        <v>13</v>
      </c>
      <c r="D214" s="35">
        <f>15%*D211</f>
        <v>0.15</v>
      </c>
      <c r="E214" s="36">
        <f>E211</f>
        <v>312930</v>
      </c>
      <c r="F214" s="36">
        <f t="shared" si="31"/>
        <v>46939.5</v>
      </c>
      <c r="G214" s="30"/>
    </row>
    <row r="215" spans="1:7" x14ac:dyDescent="0.3">
      <c r="A215" s="1">
        <v>2</v>
      </c>
      <c r="B215" s="33" t="s">
        <v>47</v>
      </c>
      <c r="C215" s="34"/>
      <c r="D215" s="35"/>
      <c r="E215" s="36"/>
      <c r="F215" s="37">
        <f>SUM(F216:F218)</f>
        <v>108991.99999999999</v>
      </c>
      <c r="G215" s="30"/>
    </row>
    <row r="216" spans="1:7" x14ac:dyDescent="0.3">
      <c r="A216" s="1" t="s">
        <v>248</v>
      </c>
      <c r="B216" s="35" t="s">
        <v>6</v>
      </c>
      <c r="C216" s="34" t="s">
        <v>14</v>
      </c>
      <c r="D216" s="35">
        <v>9.0399999999999991</v>
      </c>
      <c r="E216" s="36">
        <f>'THIẾT BỊ'!F7</f>
        <v>12000</v>
      </c>
      <c r="F216" s="36">
        <f>E216*D216</f>
        <v>108479.99999999999</v>
      </c>
      <c r="G216" s="30"/>
    </row>
    <row r="217" spans="1:7" x14ac:dyDescent="0.3">
      <c r="A217" s="1" t="s">
        <v>249</v>
      </c>
      <c r="B217" s="35" t="s">
        <v>7</v>
      </c>
      <c r="C217" s="34" t="s">
        <v>14</v>
      </c>
      <c r="D217" s="35">
        <v>4.0000000000000001E-3</v>
      </c>
      <c r="E217" s="36">
        <f>'THIẾT BỊ'!F8</f>
        <v>8000</v>
      </c>
      <c r="F217" s="36">
        <f t="shared" ref="F217:F218" si="32">E217*D217</f>
        <v>32</v>
      </c>
      <c r="G217" s="30"/>
    </row>
    <row r="218" spans="1:7" x14ac:dyDescent="0.3">
      <c r="A218" s="1">
        <v>2.2999999999999998</v>
      </c>
      <c r="B218" s="35" t="s">
        <v>54</v>
      </c>
      <c r="C218" s="34"/>
      <c r="D218" s="35">
        <v>0.04</v>
      </c>
      <c r="E218" s="36">
        <f>'THIẾT BỊ'!F11</f>
        <v>12000</v>
      </c>
      <c r="F218" s="36">
        <f t="shared" si="32"/>
        <v>480</v>
      </c>
      <c r="G218" s="30"/>
    </row>
    <row r="219" spans="1:7" x14ac:dyDescent="0.3">
      <c r="A219" s="1">
        <v>3</v>
      </c>
      <c r="B219" s="33" t="s">
        <v>48</v>
      </c>
      <c r="C219" s="34"/>
      <c r="D219" s="35"/>
      <c r="E219" s="36"/>
      <c r="F219" s="37">
        <f>SUM(F220:F221)</f>
        <v>11700</v>
      </c>
      <c r="G219" s="30"/>
    </row>
    <row r="220" spans="1:7" x14ac:dyDescent="0.3">
      <c r="A220" s="1" t="s">
        <v>250</v>
      </c>
      <c r="B220" s="35" t="s">
        <v>9</v>
      </c>
      <c r="C220" s="34" t="s">
        <v>15</v>
      </c>
      <c r="D220" s="35">
        <v>0.03</v>
      </c>
      <c r="E220" s="36">
        <f>'VẬT LIỆU'!D5</f>
        <v>90000</v>
      </c>
      <c r="F220" s="36">
        <f>E220*D220</f>
        <v>2700</v>
      </c>
      <c r="G220" s="30"/>
    </row>
    <row r="221" spans="1:7" x14ac:dyDescent="0.3">
      <c r="A221" s="1" t="s">
        <v>251</v>
      </c>
      <c r="B221" s="35" t="s">
        <v>10</v>
      </c>
      <c r="C221" s="34" t="s">
        <v>16</v>
      </c>
      <c r="D221" s="35">
        <v>0.01</v>
      </c>
      <c r="E221" s="36">
        <f>'VẬT LIỆU'!D6</f>
        <v>900000</v>
      </c>
      <c r="F221" s="36">
        <f>E221*D221</f>
        <v>9000</v>
      </c>
      <c r="G221" s="30"/>
    </row>
    <row r="222" spans="1:7" x14ac:dyDescent="0.3">
      <c r="A222" s="1" t="s">
        <v>39</v>
      </c>
      <c r="B222" s="33" t="s">
        <v>11</v>
      </c>
      <c r="C222" s="34" t="s">
        <v>12</v>
      </c>
      <c r="D222" s="35">
        <v>15</v>
      </c>
      <c r="E222" s="36"/>
      <c r="F222" s="37">
        <f>F207*D222%</f>
        <v>427824.07500000001</v>
      </c>
      <c r="G222" s="30"/>
    </row>
    <row r="223" spans="1:7" x14ac:dyDescent="0.3">
      <c r="A223" s="1"/>
      <c r="B223" s="49" t="s">
        <v>85</v>
      </c>
      <c r="C223" s="34"/>
      <c r="D223" s="35"/>
      <c r="E223" s="36"/>
      <c r="F223" s="37">
        <f>F222+F207</f>
        <v>3279984.5750000002</v>
      </c>
      <c r="G223" s="30"/>
    </row>
    <row r="224" spans="1:7" x14ac:dyDescent="0.3">
      <c r="A224" s="28"/>
      <c r="B224" s="50"/>
      <c r="C224" s="40"/>
      <c r="D224" s="30"/>
      <c r="E224" s="41"/>
      <c r="F224" s="42"/>
      <c r="G224" s="30"/>
    </row>
    <row r="225" spans="1:7" x14ac:dyDescent="0.3">
      <c r="A225" s="28">
        <v>2</v>
      </c>
      <c r="B225" s="48" t="s">
        <v>274</v>
      </c>
      <c r="C225" s="39"/>
      <c r="D225" s="48"/>
      <c r="E225" s="42"/>
      <c r="F225" s="42"/>
      <c r="G225" s="30"/>
    </row>
    <row r="226" spans="1:7" ht="19.5" x14ac:dyDescent="0.35">
      <c r="A226" s="28"/>
      <c r="B226" s="59" t="s">
        <v>275</v>
      </c>
      <c r="C226" s="40"/>
      <c r="D226" s="30"/>
      <c r="E226" s="41"/>
      <c r="F226" s="42"/>
      <c r="G226" s="30"/>
    </row>
    <row r="227" spans="1:7" x14ac:dyDescent="0.3">
      <c r="A227" s="28"/>
      <c r="B227" s="50"/>
      <c r="C227" s="40"/>
      <c r="D227" s="30"/>
      <c r="E227" s="41"/>
      <c r="F227" s="42"/>
      <c r="G227" s="30"/>
    </row>
    <row r="228" spans="1:7" ht="37.5" x14ac:dyDescent="0.3">
      <c r="A228" s="1" t="s">
        <v>0</v>
      </c>
      <c r="B228" s="1" t="s">
        <v>1</v>
      </c>
      <c r="C228" s="1" t="s">
        <v>2</v>
      </c>
      <c r="D228" s="1" t="s">
        <v>3</v>
      </c>
      <c r="E228" s="32" t="s">
        <v>36</v>
      </c>
      <c r="F228" s="32" t="s">
        <v>27</v>
      </c>
      <c r="G228" s="30"/>
    </row>
    <row r="229" spans="1:7" x14ac:dyDescent="0.3">
      <c r="A229" s="1" t="s">
        <v>38</v>
      </c>
      <c r="B229" s="33" t="s">
        <v>4</v>
      </c>
      <c r="C229" s="34"/>
      <c r="D229" s="35"/>
      <c r="E229" s="36"/>
      <c r="F229" s="37">
        <f>F230+F237+F240</f>
        <v>16072.015000000001</v>
      </c>
      <c r="G229" s="30"/>
    </row>
    <row r="230" spans="1:7" x14ac:dyDescent="0.3">
      <c r="A230" s="1">
        <v>1</v>
      </c>
      <c r="B230" s="33" t="s">
        <v>46</v>
      </c>
      <c r="C230" s="34"/>
      <c r="D230" s="35"/>
      <c r="E230" s="36"/>
      <c r="F230" s="37">
        <f>F231+F234</f>
        <v>15468.489000000001</v>
      </c>
      <c r="G230" s="30"/>
    </row>
    <row r="231" spans="1:7" x14ac:dyDescent="0.3">
      <c r="A231" s="1" t="s">
        <v>141</v>
      </c>
      <c r="B231" s="35" t="s">
        <v>87</v>
      </c>
      <c r="C231" s="34"/>
      <c r="D231" s="35"/>
      <c r="E231" s="36"/>
      <c r="F231" s="36">
        <f>F232+F233</f>
        <v>13450.86</v>
      </c>
      <c r="G231" s="30"/>
    </row>
    <row r="232" spans="1:7" x14ac:dyDescent="0.3">
      <c r="A232" s="1"/>
      <c r="B232" s="35" t="s">
        <v>88</v>
      </c>
      <c r="C232" s="34" t="s">
        <v>13</v>
      </c>
      <c r="D232" s="35">
        <v>0.05</v>
      </c>
      <c r="E232" s="36">
        <f>'NHÂN CÔNG'!G7</f>
        <v>256500</v>
      </c>
      <c r="F232" s="36">
        <f>E232*D232</f>
        <v>12825</v>
      </c>
      <c r="G232" s="30"/>
    </row>
    <row r="233" spans="1:7" x14ac:dyDescent="0.3">
      <c r="A233" s="1"/>
      <c r="B233" s="35" t="s">
        <v>90</v>
      </c>
      <c r="C233" s="34" t="s">
        <v>13</v>
      </c>
      <c r="D233" s="35">
        <v>2E-3</v>
      </c>
      <c r="E233" s="36">
        <f>'NHÂN CÔNG'!G9</f>
        <v>312930</v>
      </c>
      <c r="F233" s="36">
        <f t="shared" ref="F233" si="33">E233*D233</f>
        <v>625.86</v>
      </c>
      <c r="G233" s="30"/>
    </row>
    <row r="234" spans="1:7" x14ac:dyDescent="0.3">
      <c r="A234" s="1" t="s">
        <v>142</v>
      </c>
      <c r="B234" s="35" t="s">
        <v>19</v>
      </c>
      <c r="C234" s="34"/>
      <c r="D234" s="35"/>
      <c r="E234" s="36"/>
      <c r="F234" s="36">
        <f>F235+F236</f>
        <v>2017.6289999999999</v>
      </c>
      <c r="G234" s="30"/>
    </row>
    <row r="235" spans="1:7" x14ac:dyDescent="0.3">
      <c r="A235" s="1"/>
      <c r="B235" s="35" t="s">
        <v>88</v>
      </c>
      <c r="C235" s="34" t="s">
        <v>13</v>
      </c>
      <c r="D235" s="35">
        <f>D232*15%</f>
        <v>7.4999999999999997E-3</v>
      </c>
      <c r="E235" s="36">
        <f>E232</f>
        <v>256500</v>
      </c>
      <c r="F235" s="36">
        <f t="shared" ref="F235:F236" si="34">E235*D235</f>
        <v>1923.75</v>
      </c>
      <c r="G235" s="30"/>
    </row>
    <row r="236" spans="1:7" x14ac:dyDescent="0.3">
      <c r="A236" s="1"/>
      <c r="B236" s="35" t="s">
        <v>90</v>
      </c>
      <c r="C236" s="34" t="s">
        <v>13</v>
      </c>
      <c r="D236" s="35">
        <f>15%*D233</f>
        <v>2.9999999999999997E-4</v>
      </c>
      <c r="E236" s="36">
        <f>E233</f>
        <v>312930</v>
      </c>
      <c r="F236" s="36">
        <f t="shared" si="34"/>
        <v>93.878999999999991</v>
      </c>
      <c r="G236" s="30"/>
    </row>
    <row r="237" spans="1:7" x14ac:dyDescent="0.3">
      <c r="A237" s="1">
        <v>2</v>
      </c>
      <c r="B237" s="33" t="s">
        <v>47</v>
      </c>
      <c r="C237" s="34"/>
      <c r="D237" s="35"/>
      <c r="E237" s="36"/>
      <c r="F237" s="61">
        <f>SUM(F238:F239)</f>
        <v>600.01599999999996</v>
      </c>
      <c r="G237" s="30"/>
    </row>
    <row r="238" spans="1:7" x14ac:dyDescent="0.3">
      <c r="A238" s="1" t="s">
        <v>248</v>
      </c>
      <c r="B238" s="35" t="s">
        <v>6</v>
      </c>
      <c r="C238" s="34" t="s">
        <v>14</v>
      </c>
      <c r="D238" s="35">
        <v>0.05</v>
      </c>
      <c r="E238" s="36">
        <f>'THIẾT BỊ'!F7</f>
        <v>12000</v>
      </c>
      <c r="F238" s="36">
        <f>E238*D238</f>
        <v>600</v>
      </c>
      <c r="G238" s="30"/>
    </row>
    <row r="239" spans="1:7" x14ac:dyDescent="0.3">
      <c r="A239" s="1" t="s">
        <v>249</v>
      </c>
      <c r="B239" s="35" t="s">
        <v>7</v>
      </c>
      <c r="C239" s="34" t="s">
        <v>14</v>
      </c>
      <c r="D239" s="35">
        <v>1.9999999999999999E-6</v>
      </c>
      <c r="E239" s="36">
        <f>'THIẾT BỊ'!F8</f>
        <v>8000</v>
      </c>
      <c r="F239" s="53">
        <f t="shared" ref="F239" si="35">E239*D239</f>
        <v>1.6E-2</v>
      </c>
      <c r="G239" s="30"/>
    </row>
    <row r="240" spans="1:7" x14ac:dyDescent="0.3">
      <c r="A240" s="1">
        <v>3</v>
      </c>
      <c r="B240" s="33" t="s">
        <v>48</v>
      </c>
      <c r="C240" s="34"/>
      <c r="D240" s="35"/>
      <c r="E240" s="36"/>
      <c r="F240" s="61">
        <f>SUM(F241:F242)</f>
        <v>3.5100000000000002</v>
      </c>
      <c r="G240" s="30"/>
    </row>
    <row r="241" spans="1:7" x14ac:dyDescent="0.3">
      <c r="A241" s="1" t="s">
        <v>250</v>
      </c>
      <c r="B241" s="35" t="s">
        <v>9</v>
      </c>
      <c r="C241" s="34" t="s">
        <v>15</v>
      </c>
      <c r="D241" s="35">
        <v>9.0000000000000002E-6</v>
      </c>
      <c r="E241" s="36">
        <f>'VẬT LIỆU'!D5</f>
        <v>90000</v>
      </c>
      <c r="F241" s="53">
        <f>E241*D241</f>
        <v>0.81</v>
      </c>
      <c r="G241" s="30"/>
    </row>
    <row r="242" spans="1:7" x14ac:dyDescent="0.3">
      <c r="A242" s="1" t="s">
        <v>251</v>
      </c>
      <c r="B242" s="35" t="s">
        <v>10</v>
      </c>
      <c r="C242" s="34" t="s">
        <v>16</v>
      </c>
      <c r="D242" s="35">
        <v>3.0000000000000001E-6</v>
      </c>
      <c r="E242" s="36">
        <f>'VẬT LIỆU'!D6</f>
        <v>900000</v>
      </c>
      <c r="F242" s="53">
        <f>E242*D242</f>
        <v>2.7</v>
      </c>
      <c r="G242" s="30"/>
    </row>
    <row r="243" spans="1:7" x14ac:dyDescent="0.3">
      <c r="A243" s="1" t="s">
        <v>39</v>
      </c>
      <c r="B243" s="33" t="s">
        <v>11</v>
      </c>
      <c r="C243" s="34" t="s">
        <v>12</v>
      </c>
      <c r="D243" s="35">
        <v>15</v>
      </c>
      <c r="E243" s="36"/>
      <c r="F243" s="37">
        <f>F229*D243%</f>
        <v>2410.8022500000002</v>
      </c>
      <c r="G243" s="30"/>
    </row>
    <row r="244" spans="1:7" x14ac:dyDescent="0.3">
      <c r="A244" s="1"/>
      <c r="B244" s="49" t="s">
        <v>85</v>
      </c>
      <c r="C244" s="34"/>
      <c r="D244" s="35"/>
      <c r="E244" s="36"/>
      <c r="F244" s="37">
        <f>F243+F229</f>
        <v>18482.81725</v>
      </c>
      <c r="G244" s="30"/>
    </row>
    <row r="245" spans="1:7" x14ac:dyDescent="0.3">
      <c r="A245" s="28"/>
      <c r="B245" s="50"/>
      <c r="C245" s="40"/>
      <c r="D245" s="30"/>
      <c r="E245" s="41"/>
      <c r="F245" s="42"/>
      <c r="G245" s="30"/>
    </row>
    <row r="246" spans="1:7" x14ac:dyDescent="0.3">
      <c r="A246" s="1" t="s">
        <v>196</v>
      </c>
      <c r="B246" s="21" t="s">
        <v>86</v>
      </c>
      <c r="C246" s="57"/>
      <c r="D246" s="57"/>
      <c r="E246" s="62"/>
      <c r="F246" s="62"/>
    </row>
    <row r="247" spans="1:7" x14ac:dyDescent="0.3">
      <c r="A247" s="28">
        <v>1</v>
      </c>
      <c r="B247" s="161" t="s">
        <v>136</v>
      </c>
      <c r="C247" s="161"/>
      <c r="D247" s="161"/>
      <c r="E247" s="161"/>
      <c r="F247" s="161"/>
    </row>
    <row r="248" spans="1:7" ht="19.5" x14ac:dyDescent="0.3">
      <c r="A248" s="28"/>
      <c r="B248" s="63" t="s">
        <v>94</v>
      </c>
      <c r="C248" s="30"/>
      <c r="D248" s="30"/>
      <c r="E248" s="31"/>
      <c r="F248" s="31"/>
    </row>
    <row r="249" spans="1:7" x14ac:dyDescent="0.3">
      <c r="A249" s="28"/>
      <c r="B249" s="64"/>
      <c r="C249" s="30"/>
      <c r="D249" s="30"/>
      <c r="E249" s="31"/>
      <c r="F249" s="31"/>
    </row>
    <row r="250" spans="1:7" ht="37.5" x14ac:dyDescent="0.3">
      <c r="A250" s="1"/>
      <c r="B250" s="24" t="s">
        <v>1</v>
      </c>
      <c r="C250" s="24" t="s">
        <v>72</v>
      </c>
      <c r="D250" s="24" t="s">
        <v>3</v>
      </c>
      <c r="E250" s="32" t="s">
        <v>36</v>
      </c>
      <c r="F250" s="32" t="s">
        <v>27</v>
      </c>
    </row>
    <row r="251" spans="1:7" x14ac:dyDescent="0.3">
      <c r="A251" s="1" t="s">
        <v>38</v>
      </c>
      <c r="B251" s="33" t="s">
        <v>4</v>
      </c>
      <c r="C251" s="34"/>
      <c r="D251" s="35"/>
      <c r="E251" s="36"/>
      <c r="F251" s="37">
        <f>F252+F259+F262</f>
        <v>759485.73499999999</v>
      </c>
    </row>
    <row r="252" spans="1:7" x14ac:dyDescent="0.3">
      <c r="A252" s="1">
        <v>1</v>
      </c>
      <c r="B252" s="33" t="s">
        <v>46</v>
      </c>
      <c r="C252" s="18"/>
      <c r="D252" s="18"/>
      <c r="E252" s="36"/>
      <c r="F252" s="37">
        <f>F253+F256</f>
        <v>722865.73499999999</v>
      </c>
    </row>
    <row r="253" spans="1:7" x14ac:dyDescent="0.3">
      <c r="A253" s="1">
        <v>1.1000000000000001</v>
      </c>
      <c r="B253" s="65" t="s">
        <v>87</v>
      </c>
      <c r="C253" s="18"/>
      <c r="D253" s="18"/>
      <c r="E253" s="36"/>
      <c r="F253" s="36">
        <f>F254+F255</f>
        <v>628578.9</v>
      </c>
    </row>
    <row r="254" spans="1:7" x14ac:dyDescent="0.3">
      <c r="A254" s="1" t="s">
        <v>135</v>
      </c>
      <c r="B254" s="65" t="s">
        <v>88</v>
      </c>
      <c r="C254" s="18" t="s">
        <v>89</v>
      </c>
      <c r="D254" s="19">
        <v>0.34</v>
      </c>
      <c r="E254" s="36">
        <f>'NHÂN CÔNG'!G7</f>
        <v>256500</v>
      </c>
      <c r="F254" s="36">
        <f>E254*D254</f>
        <v>87210</v>
      </c>
    </row>
    <row r="255" spans="1:7" x14ac:dyDescent="0.3">
      <c r="A255" s="1" t="s">
        <v>135</v>
      </c>
      <c r="B255" s="65" t="s">
        <v>90</v>
      </c>
      <c r="C255" s="18" t="s">
        <v>89</v>
      </c>
      <c r="D255" s="19">
        <v>1.73</v>
      </c>
      <c r="E255" s="36">
        <f>'NHÂN CÔNG'!G9</f>
        <v>312930</v>
      </c>
      <c r="F255" s="36">
        <f t="shared" ref="F255:F264" si="36">E255*D255</f>
        <v>541368.9</v>
      </c>
    </row>
    <row r="256" spans="1:7" ht="37.5" x14ac:dyDescent="0.3">
      <c r="A256" s="1">
        <v>1.2</v>
      </c>
      <c r="B256" s="65" t="s">
        <v>91</v>
      </c>
      <c r="C256" s="18" t="s">
        <v>89</v>
      </c>
      <c r="D256" s="19"/>
      <c r="E256" s="36"/>
      <c r="F256" s="37">
        <f>F257+F258</f>
        <v>94286.835000000006</v>
      </c>
    </row>
    <row r="257" spans="1:16" s="69" customFormat="1" x14ac:dyDescent="0.3">
      <c r="A257" s="1" t="s">
        <v>135</v>
      </c>
      <c r="B257" s="65" t="s">
        <v>17</v>
      </c>
      <c r="C257" s="18" t="s">
        <v>89</v>
      </c>
      <c r="D257" s="66">
        <f>D254*15%</f>
        <v>5.1000000000000004E-2</v>
      </c>
      <c r="E257" s="36">
        <f>E254</f>
        <v>256500</v>
      </c>
      <c r="F257" s="36">
        <f t="shared" si="36"/>
        <v>13081.500000000002</v>
      </c>
      <c r="G257" s="67"/>
      <c r="H257" s="68"/>
      <c r="I257" s="68"/>
      <c r="J257" s="68"/>
      <c r="K257" s="68"/>
      <c r="L257" s="68"/>
      <c r="M257" s="30"/>
      <c r="N257" s="30"/>
      <c r="O257" s="30"/>
      <c r="P257" s="30"/>
    </row>
    <row r="258" spans="1:16" s="69" customFormat="1" x14ac:dyDescent="0.3">
      <c r="A258" s="1" t="s">
        <v>135</v>
      </c>
      <c r="B258" s="65" t="s">
        <v>18</v>
      </c>
      <c r="C258" s="18" t="s">
        <v>89</v>
      </c>
      <c r="D258" s="19">
        <f>D255*15%</f>
        <v>0.25950000000000001</v>
      </c>
      <c r="E258" s="36">
        <f>E255</f>
        <v>312930</v>
      </c>
      <c r="F258" s="36">
        <f t="shared" si="36"/>
        <v>81205.335000000006</v>
      </c>
      <c r="G258" s="67"/>
      <c r="H258" s="68"/>
      <c r="I258" s="68"/>
      <c r="J258" s="68"/>
      <c r="K258" s="68"/>
      <c r="L258" s="68"/>
      <c r="M258" s="30"/>
      <c r="N258" s="30"/>
      <c r="O258" s="30"/>
      <c r="P258" s="30"/>
    </row>
    <row r="259" spans="1:16" x14ac:dyDescent="0.3">
      <c r="A259" s="1">
        <v>2</v>
      </c>
      <c r="B259" s="33" t="s">
        <v>47</v>
      </c>
      <c r="C259" s="18"/>
      <c r="D259" s="19"/>
      <c r="E259" s="36">
        <f>'NHÂN CÔNG'!G13</f>
        <v>0</v>
      </c>
      <c r="F259" s="37">
        <f>F260+F261</f>
        <v>24919.999999999996</v>
      </c>
    </row>
    <row r="260" spans="1:16" x14ac:dyDescent="0.3">
      <c r="A260" s="1" t="s">
        <v>135</v>
      </c>
      <c r="B260" s="65" t="s">
        <v>6</v>
      </c>
      <c r="C260" s="18" t="s">
        <v>92</v>
      </c>
      <c r="D260" s="19">
        <v>2.0699999999999998</v>
      </c>
      <c r="E260" s="36">
        <f>'THIẾT BỊ'!F7</f>
        <v>12000</v>
      </c>
      <c r="F260" s="36">
        <f t="shared" si="36"/>
        <v>24839.999999999996</v>
      </c>
    </row>
    <row r="261" spans="1:16" x14ac:dyDescent="0.3">
      <c r="A261" s="1" t="s">
        <v>135</v>
      </c>
      <c r="B261" s="65" t="s">
        <v>7</v>
      </c>
      <c r="C261" s="18" t="s">
        <v>92</v>
      </c>
      <c r="D261" s="19">
        <v>0.01</v>
      </c>
      <c r="E261" s="36">
        <f>'THIẾT BỊ'!F8</f>
        <v>8000</v>
      </c>
      <c r="F261" s="36">
        <f t="shared" si="36"/>
        <v>80</v>
      </c>
    </row>
    <row r="262" spans="1:16" x14ac:dyDescent="0.3">
      <c r="A262" s="1">
        <v>3</v>
      </c>
      <c r="B262" s="33" t="s">
        <v>48</v>
      </c>
      <c r="C262" s="18"/>
      <c r="D262" s="19"/>
      <c r="E262" s="36"/>
      <c r="F262" s="37">
        <f>F263+F264</f>
        <v>11700</v>
      </c>
    </row>
    <row r="263" spans="1:16" x14ac:dyDescent="0.3">
      <c r="A263" s="1" t="s">
        <v>135</v>
      </c>
      <c r="B263" s="65" t="s">
        <v>93</v>
      </c>
      <c r="C263" s="18" t="s">
        <v>15</v>
      </c>
      <c r="D263" s="19">
        <v>0.03</v>
      </c>
      <c r="E263" s="36">
        <f>'VẬT LIỆU'!D5</f>
        <v>90000</v>
      </c>
      <c r="F263" s="36">
        <f t="shared" si="36"/>
        <v>2700</v>
      </c>
    </row>
    <row r="264" spans="1:16" x14ac:dyDescent="0.3">
      <c r="A264" s="1" t="s">
        <v>135</v>
      </c>
      <c r="B264" s="65" t="s">
        <v>10</v>
      </c>
      <c r="C264" s="18" t="s">
        <v>16</v>
      </c>
      <c r="D264" s="19">
        <v>0.01</v>
      </c>
      <c r="E264" s="36">
        <f>'VẬT LIỆU'!D6</f>
        <v>900000</v>
      </c>
      <c r="F264" s="36">
        <f t="shared" si="36"/>
        <v>9000</v>
      </c>
    </row>
    <row r="265" spans="1:16" x14ac:dyDescent="0.3">
      <c r="A265" s="1" t="s">
        <v>39</v>
      </c>
      <c r="B265" s="33" t="s">
        <v>11</v>
      </c>
      <c r="C265" s="34" t="s">
        <v>12</v>
      </c>
      <c r="D265" s="35">
        <v>15</v>
      </c>
      <c r="E265" s="36"/>
      <c r="F265" s="37">
        <f>F251*D265%</f>
        <v>113922.86025</v>
      </c>
    </row>
    <row r="266" spans="1:16" x14ac:dyDescent="0.3">
      <c r="A266" s="1"/>
      <c r="B266" s="49" t="s">
        <v>85</v>
      </c>
      <c r="C266" s="34"/>
      <c r="D266" s="35"/>
      <c r="E266" s="36"/>
      <c r="F266" s="37">
        <f>F265+F251</f>
        <v>873408.59525000001</v>
      </c>
    </row>
    <row r="267" spans="1:16" x14ac:dyDescent="0.3">
      <c r="A267" s="28"/>
      <c r="B267" s="30"/>
      <c r="C267" s="30"/>
      <c r="D267" s="30"/>
      <c r="E267" s="31"/>
      <c r="F267" s="31"/>
    </row>
    <row r="268" spans="1:16" x14ac:dyDescent="0.3">
      <c r="A268" s="28">
        <v>2</v>
      </c>
      <c r="B268" s="155" t="s">
        <v>137</v>
      </c>
      <c r="C268" s="155"/>
      <c r="D268" s="155"/>
      <c r="E268" s="155"/>
      <c r="F268" s="155"/>
    </row>
    <row r="269" spans="1:16" ht="19.5" x14ac:dyDescent="0.3">
      <c r="A269" s="28"/>
      <c r="B269" s="63" t="s">
        <v>230</v>
      </c>
      <c r="C269" s="30"/>
      <c r="D269" s="30"/>
      <c r="E269" s="31"/>
      <c r="F269" s="31"/>
    </row>
    <row r="270" spans="1:16" x14ac:dyDescent="0.3">
      <c r="A270" s="28"/>
      <c r="B270" s="70"/>
      <c r="C270" s="30"/>
      <c r="D270" s="30"/>
      <c r="E270" s="31"/>
      <c r="F270" s="31"/>
    </row>
    <row r="271" spans="1:16" ht="37.5" x14ac:dyDescent="0.3">
      <c r="A271" s="1"/>
      <c r="B271" s="24" t="s">
        <v>1</v>
      </c>
      <c r="C271" s="24" t="s">
        <v>72</v>
      </c>
      <c r="D271" s="24" t="s">
        <v>3</v>
      </c>
      <c r="E271" s="32" t="s">
        <v>36</v>
      </c>
      <c r="F271" s="32" t="s">
        <v>27</v>
      </c>
    </row>
    <row r="272" spans="1:16" x14ac:dyDescent="0.3">
      <c r="A272" s="1" t="s">
        <v>38</v>
      </c>
      <c r="B272" s="33" t="s">
        <v>4</v>
      </c>
      <c r="C272" s="34"/>
      <c r="D272" s="35"/>
      <c r="E272" s="36"/>
      <c r="F272" s="37">
        <f>F273+F280+F283</f>
        <v>684312.69900000002</v>
      </c>
    </row>
    <row r="273" spans="1:6" x14ac:dyDescent="0.3">
      <c r="A273" s="1">
        <v>1</v>
      </c>
      <c r="B273" s="33" t="s">
        <v>46</v>
      </c>
      <c r="C273" s="18"/>
      <c r="D273" s="18"/>
      <c r="E273" s="36"/>
      <c r="F273" s="37">
        <f>F274+F277</f>
        <v>650136.69900000002</v>
      </c>
    </row>
    <row r="274" spans="1:6" x14ac:dyDescent="0.3">
      <c r="A274" s="1">
        <v>1.1000000000000001</v>
      </c>
      <c r="B274" s="65" t="s">
        <v>87</v>
      </c>
      <c r="C274" s="18"/>
      <c r="D274" s="18"/>
      <c r="E274" s="36"/>
      <c r="F274" s="36">
        <f>F275+F276</f>
        <v>565336.26</v>
      </c>
    </row>
    <row r="275" spans="1:6" x14ac:dyDescent="0.3">
      <c r="A275" s="1" t="s">
        <v>135</v>
      </c>
      <c r="B275" s="65" t="s">
        <v>88</v>
      </c>
      <c r="C275" s="18" t="s">
        <v>89</v>
      </c>
      <c r="D275" s="19">
        <v>0.33500000000000002</v>
      </c>
      <c r="E275" s="36">
        <f>'NHÂN CÔNG'!G7</f>
        <v>256500</v>
      </c>
      <c r="F275" s="36">
        <f>E275*D275</f>
        <v>85927.5</v>
      </c>
    </row>
    <row r="276" spans="1:6" x14ac:dyDescent="0.3">
      <c r="A276" s="1" t="s">
        <v>135</v>
      </c>
      <c r="B276" s="65" t="s">
        <v>90</v>
      </c>
      <c r="C276" s="18" t="s">
        <v>89</v>
      </c>
      <c r="D276" s="19">
        <v>1.532</v>
      </c>
      <c r="E276" s="36">
        <f>'NHÂN CÔNG'!G9</f>
        <v>312930</v>
      </c>
      <c r="F276" s="36">
        <f t="shared" ref="F276:F285" si="37">E276*D276</f>
        <v>479408.76</v>
      </c>
    </row>
    <row r="277" spans="1:6" ht="37.5" x14ac:dyDescent="0.3">
      <c r="A277" s="1">
        <v>1.2</v>
      </c>
      <c r="B277" s="65" t="s">
        <v>91</v>
      </c>
      <c r="C277" s="18" t="s">
        <v>89</v>
      </c>
      <c r="D277" s="19"/>
      <c r="E277" s="36"/>
      <c r="F277" s="36">
        <f>SUM(F278:F279)</f>
        <v>84800.438999999998</v>
      </c>
    </row>
    <row r="278" spans="1:6" x14ac:dyDescent="0.3">
      <c r="A278" s="1" t="s">
        <v>135</v>
      </c>
      <c r="B278" s="65" t="s">
        <v>88</v>
      </c>
      <c r="C278" s="18" t="s">
        <v>89</v>
      </c>
      <c r="D278" s="19">
        <f>D275*15%</f>
        <v>5.0250000000000003E-2</v>
      </c>
      <c r="E278" s="36">
        <f>E275</f>
        <v>256500</v>
      </c>
      <c r="F278" s="36">
        <f t="shared" si="37"/>
        <v>12889.125</v>
      </c>
    </row>
    <row r="279" spans="1:6" x14ac:dyDescent="0.3">
      <c r="A279" s="1" t="s">
        <v>135</v>
      </c>
      <c r="B279" s="65" t="s">
        <v>90</v>
      </c>
      <c r="C279" s="18" t="s">
        <v>89</v>
      </c>
      <c r="D279" s="19">
        <f>D276*15%</f>
        <v>0.2298</v>
      </c>
      <c r="E279" s="36">
        <f>E276</f>
        <v>312930</v>
      </c>
      <c r="F279" s="36">
        <f t="shared" si="37"/>
        <v>71911.313999999998</v>
      </c>
    </row>
    <row r="280" spans="1:6" x14ac:dyDescent="0.3">
      <c r="A280" s="1">
        <v>2</v>
      </c>
      <c r="B280" s="33" t="s">
        <v>47</v>
      </c>
      <c r="C280" s="18"/>
      <c r="D280" s="19"/>
      <c r="E280" s="36"/>
      <c r="F280" s="37">
        <f>F281+F282</f>
        <v>22476</v>
      </c>
    </row>
    <row r="281" spans="1:6" x14ac:dyDescent="0.3">
      <c r="A281" s="1" t="s">
        <v>135</v>
      </c>
      <c r="B281" s="65" t="s">
        <v>6</v>
      </c>
      <c r="C281" s="18" t="s">
        <v>92</v>
      </c>
      <c r="D281" s="19">
        <v>1.867</v>
      </c>
      <c r="E281" s="36">
        <f>'THIẾT BỊ'!$F$7</f>
        <v>12000</v>
      </c>
      <c r="F281" s="36">
        <f t="shared" si="37"/>
        <v>22404</v>
      </c>
    </row>
    <row r="282" spans="1:6" x14ac:dyDescent="0.3">
      <c r="A282" s="1" t="s">
        <v>135</v>
      </c>
      <c r="B282" s="65" t="s">
        <v>7</v>
      </c>
      <c r="C282" s="18" t="s">
        <v>92</v>
      </c>
      <c r="D282" s="19">
        <v>8.9999999999999993E-3</v>
      </c>
      <c r="E282" s="36">
        <f>'THIẾT BỊ'!$F$8</f>
        <v>8000</v>
      </c>
      <c r="F282" s="36">
        <f t="shared" si="37"/>
        <v>72</v>
      </c>
    </row>
    <row r="283" spans="1:6" x14ac:dyDescent="0.3">
      <c r="A283" s="1">
        <v>3</v>
      </c>
      <c r="B283" s="33" t="s">
        <v>48</v>
      </c>
      <c r="C283" s="18"/>
      <c r="D283" s="19"/>
      <c r="E283" s="36"/>
      <c r="F283" s="37">
        <f>F284+F285</f>
        <v>11700</v>
      </c>
    </row>
    <row r="284" spans="1:6" x14ac:dyDescent="0.3">
      <c r="A284" s="1" t="s">
        <v>135</v>
      </c>
      <c r="B284" s="65" t="s">
        <v>93</v>
      </c>
      <c r="C284" s="18" t="s">
        <v>15</v>
      </c>
      <c r="D284" s="19">
        <v>0.03</v>
      </c>
      <c r="E284" s="36">
        <f>'VẬT LIỆU'!$D$5</f>
        <v>90000</v>
      </c>
      <c r="F284" s="36">
        <f>E284*D284</f>
        <v>2700</v>
      </c>
    </row>
    <row r="285" spans="1:6" x14ac:dyDescent="0.3">
      <c r="A285" s="1" t="s">
        <v>135</v>
      </c>
      <c r="B285" s="65" t="s">
        <v>10</v>
      </c>
      <c r="C285" s="18" t="s">
        <v>16</v>
      </c>
      <c r="D285" s="19">
        <v>0.01</v>
      </c>
      <c r="E285" s="36">
        <f>'VẬT LIỆU'!$D$6</f>
        <v>900000</v>
      </c>
      <c r="F285" s="36">
        <f t="shared" si="37"/>
        <v>9000</v>
      </c>
    </row>
    <row r="286" spans="1:6" x14ac:dyDescent="0.3">
      <c r="A286" s="1" t="s">
        <v>39</v>
      </c>
      <c r="B286" s="33" t="s">
        <v>11</v>
      </c>
      <c r="C286" s="34" t="s">
        <v>12</v>
      </c>
      <c r="D286" s="35">
        <v>15</v>
      </c>
      <c r="E286" s="36"/>
      <c r="F286" s="37">
        <f>F272*D286%</f>
        <v>102646.90485000001</v>
      </c>
    </row>
    <row r="287" spans="1:6" x14ac:dyDescent="0.3">
      <c r="A287" s="1"/>
      <c r="B287" s="49" t="s">
        <v>85</v>
      </c>
      <c r="C287" s="34"/>
      <c r="D287" s="35"/>
      <c r="E287" s="36"/>
      <c r="F287" s="37">
        <f>F286+F272</f>
        <v>786959.60385000007</v>
      </c>
    </row>
    <row r="288" spans="1:6" x14ac:dyDescent="0.3">
      <c r="A288" s="28"/>
      <c r="B288" s="50"/>
      <c r="C288" s="40"/>
      <c r="D288" s="30"/>
      <c r="E288" s="41"/>
      <c r="F288" s="42"/>
    </row>
    <row r="289" spans="1:6" x14ac:dyDescent="0.3">
      <c r="A289" s="1" t="s">
        <v>197</v>
      </c>
      <c r="B289" s="162" t="s">
        <v>95</v>
      </c>
      <c r="C289" s="163"/>
      <c r="D289" s="163"/>
      <c r="E289" s="163"/>
      <c r="F289" s="164"/>
    </row>
    <row r="290" spans="1:6" x14ac:dyDescent="0.3">
      <c r="A290" s="1">
        <v>1</v>
      </c>
      <c r="B290" s="21" t="s">
        <v>138</v>
      </c>
      <c r="C290" s="35"/>
      <c r="D290" s="35"/>
      <c r="E290" s="36"/>
      <c r="F290" s="36"/>
    </row>
    <row r="291" spans="1:6" ht="19.5" x14ac:dyDescent="0.3">
      <c r="A291" s="28"/>
      <c r="B291" s="63" t="s">
        <v>96</v>
      </c>
      <c r="C291" s="30"/>
      <c r="D291" s="30"/>
      <c r="E291" s="41"/>
      <c r="F291" s="41"/>
    </row>
    <row r="292" spans="1:6" x14ac:dyDescent="0.3">
      <c r="A292" s="28"/>
      <c r="B292" s="30"/>
      <c r="C292" s="30"/>
      <c r="D292" s="30"/>
      <c r="E292" s="31"/>
      <c r="F292" s="31"/>
    </row>
    <row r="293" spans="1:6" ht="37.5" x14ac:dyDescent="0.3">
      <c r="A293" s="1"/>
      <c r="B293" s="24" t="s">
        <v>1</v>
      </c>
      <c r="C293" s="24" t="s">
        <v>72</v>
      </c>
      <c r="D293" s="24" t="s">
        <v>3</v>
      </c>
      <c r="E293" s="32" t="s">
        <v>36</v>
      </c>
      <c r="F293" s="32" t="s">
        <v>27</v>
      </c>
    </row>
    <row r="294" spans="1:6" x14ac:dyDescent="0.3">
      <c r="A294" s="1" t="s">
        <v>38</v>
      </c>
      <c r="B294" s="33" t="s">
        <v>4</v>
      </c>
      <c r="C294" s="34"/>
      <c r="D294" s="35"/>
      <c r="E294" s="36"/>
      <c r="F294" s="37">
        <f>F295+F302</f>
        <v>142586.8425</v>
      </c>
    </row>
    <row r="295" spans="1:6" x14ac:dyDescent="0.3">
      <c r="A295" s="1">
        <v>1</v>
      </c>
      <c r="B295" s="33" t="s">
        <v>46</v>
      </c>
      <c r="C295" s="18"/>
      <c r="D295" s="18"/>
      <c r="E295" s="36"/>
      <c r="F295" s="36">
        <f>F296+F299</f>
        <v>137546.8425</v>
      </c>
    </row>
    <row r="296" spans="1:6" x14ac:dyDescent="0.3">
      <c r="A296" s="1" t="s">
        <v>141</v>
      </c>
      <c r="B296" s="65" t="s">
        <v>87</v>
      </c>
      <c r="C296" s="18"/>
      <c r="D296" s="18"/>
      <c r="E296" s="36"/>
      <c r="F296" s="36">
        <f>F297+F298</f>
        <v>119605.95</v>
      </c>
    </row>
    <row r="297" spans="1:6" x14ac:dyDescent="0.3">
      <c r="A297" s="1" t="s">
        <v>135</v>
      </c>
      <c r="B297" s="65" t="s">
        <v>88</v>
      </c>
      <c r="C297" s="18" t="s">
        <v>89</v>
      </c>
      <c r="D297" s="19">
        <v>0.32</v>
      </c>
      <c r="E297" s="36">
        <f>'NHÂN CÔNG'!G7</f>
        <v>256500</v>
      </c>
      <c r="F297" s="36">
        <f>E297*D297</f>
        <v>82080</v>
      </c>
    </row>
    <row r="298" spans="1:6" x14ac:dyDescent="0.3">
      <c r="A298" s="1" t="s">
        <v>135</v>
      </c>
      <c r="B298" s="65" t="s">
        <v>18</v>
      </c>
      <c r="C298" s="18" t="s">
        <v>89</v>
      </c>
      <c r="D298" s="19">
        <v>0.11</v>
      </c>
      <c r="E298" s="36">
        <f>'NHÂN CÔNG'!G10</f>
        <v>341145</v>
      </c>
      <c r="F298" s="36">
        <f t="shared" ref="F298:F303" si="38">E298*D298</f>
        <v>37525.949999999997</v>
      </c>
    </row>
    <row r="299" spans="1:6" ht="37.5" x14ac:dyDescent="0.3">
      <c r="A299" s="1" t="s">
        <v>142</v>
      </c>
      <c r="B299" s="65" t="s">
        <v>91</v>
      </c>
      <c r="C299" s="18" t="s">
        <v>89</v>
      </c>
      <c r="D299" s="19"/>
      <c r="E299" s="36"/>
      <c r="F299" s="36">
        <f>F300+F301</f>
        <v>17940.892500000002</v>
      </c>
    </row>
    <row r="300" spans="1:6" x14ac:dyDescent="0.3">
      <c r="A300" s="1" t="s">
        <v>135</v>
      </c>
      <c r="B300" s="65" t="s">
        <v>88</v>
      </c>
      <c r="C300" s="18" t="s">
        <v>89</v>
      </c>
      <c r="D300" s="19">
        <f>D297*15%</f>
        <v>4.8000000000000001E-2</v>
      </c>
      <c r="E300" s="36">
        <f>E297</f>
        <v>256500</v>
      </c>
      <c r="F300" s="36">
        <f t="shared" si="38"/>
        <v>12312</v>
      </c>
    </row>
    <row r="301" spans="1:6" x14ac:dyDescent="0.3">
      <c r="A301" s="1" t="s">
        <v>135</v>
      </c>
      <c r="B301" s="65" t="s">
        <v>18</v>
      </c>
      <c r="C301" s="18" t="s">
        <v>89</v>
      </c>
      <c r="D301" s="19">
        <f>D298*15%</f>
        <v>1.6500000000000001E-2</v>
      </c>
      <c r="E301" s="36">
        <f>E298</f>
        <v>341145</v>
      </c>
      <c r="F301" s="36">
        <f t="shared" si="38"/>
        <v>5628.8924999999999</v>
      </c>
    </row>
    <row r="302" spans="1:6" x14ac:dyDescent="0.3">
      <c r="A302" s="1">
        <v>2</v>
      </c>
      <c r="B302" s="33" t="s">
        <v>47</v>
      </c>
      <c r="C302" s="18"/>
      <c r="D302" s="19"/>
      <c r="E302" s="36"/>
      <c r="F302" s="37">
        <f>F303</f>
        <v>5040</v>
      </c>
    </row>
    <row r="303" spans="1:6" x14ac:dyDescent="0.3">
      <c r="A303" s="1" t="s">
        <v>135</v>
      </c>
      <c r="B303" s="65" t="s">
        <v>6</v>
      </c>
      <c r="C303" s="18" t="s">
        <v>92</v>
      </c>
      <c r="D303" s="19">
        <v>0.42</v>
      </c>
      <c r="E303" s="36">
        <f>'THIẾT BỊ'!F7</f>
        <v>12000</v>
      </c>
      <c r="F303" s="36">
        <f t="shared" si="38"/>
        <v>5040</v>
      </c>
    </row>
    <row r="304" spans="1:6" x14ac:dyDescent="0.3">
      <c r="A304" s="1" t="s">
        <v>39</v>
      </c>
      <c r="B304" s="33" t="s">
        <v>11</v>
      </c>
      <c r="C304" s="34" t="s">
        <v>12</v>
      </c>
      <c r="D304" s="35">
        <v>15</v>
      </c>
      <c r="E304" s="36"/>
      <c r="F304" s="37">
        <f>F294*D304%</f>
        <v>21388.026374999998</v>
      </c>
    </row>
    <row r="305" spans="1:6" x14ac:dyDescent="0.3">
      <c r="A305" s="1"/>
      <c r="B305" s="49" t="s">
        <v>85</v>
      </c>
      <c r="C305" s="34"/>
      <c r="D305" s="35"/>
      <c r="E305" s="36"/>
      <c r="F305" s="37">
        <f>F304+F294</f>
        <v>163974.86887499999</v>
      </c>
    </row>
    <row r="306" spans="1:6" x14ac:dyDescent="0.3">
      <c r="A306" s="28"/>
      <c r="B306" s="30"/>
      <c r="C306" s="30"/>
      <c r="D306" s="30"/>
      <c r="E306" s="31"/>
      <c r="F306" s="31"/>
    </row>
    <row r="307" spans="1:6" ht="41.45" customHeight="1" x14ac:dyDescent="0.3">
      <c r="A307" s="28">
        <v>2</v>
      </c>
      <c r="B307" s="167" t="s">
        <v>139</v>
      </c>
      <c r="C307" s="167"/>
      <c r="D307" s="167"/>
      <c r="E307" s="167"/>
      <c r="F307" s="167"/>
    </row>
    <row r="308" spans="1:6" ht="19.5" x14ac:dyDescent="0.3">
      <c r="A308" s="28"/>
      <c r="B308" s="63" t="s">
        <v>96</v>
      </c>
      <c r="C308" s="20"/>
      <c r="D308" s="20"/>
      <c r="E308" s="20"/>
      <c r="F308" s="20"/>
    </row>
    <row r="309" spans="1:6" x14ac:dyDescent="0.3">
      <c r="A309" s="28"/>
      <c r="B309" s="30"/>
      <c r="C309" s="30"/>
      <c r="D309" s="30"/>
      <c r="E309" s="31"/>
      <c r="F309" s="31"/>
    </row>
    <row r="310" spans="1:6" ht="37.5" x14ac:dyDescent="0.3">
      <c r="A310" s="1"/>
      <c r="B310" s="24" t="s">
        <v>1</v>
      </c>
      <c r="C310" s="24" t="s">
        <v>72</v>
      </c>
      <c r="D310" s="24" t="s">
        <v>3</v>
      </c>
      <c r="E310" s="32" t="s">
        <v>36</v>
      </c>
      <c r="F310" s="32" t="s">
        <v>27</v>
      </c>
    </row>
    <row r="311" spans="1:6" x14ac:dyDescent="0.3">
      <c r="A311" s="1" t="s">
        <v>38</v>
      </c>
      <c r="B311" s="33" t="s">
        <v>4</v>
      </c>
      <c r="C311" s="34"/>
      <c r="D311" s="35"/>
      <c r="E311" s="36"/>
      <c r="F311" s="37">
        <f>F312+F319</f>
        <v>133258.07250000001</v>
      </c>
    </row>
    <row r="312" spans="1:6" x14ac:dyDescent="0.3">
      <c r="A312" s="1">
        <v>1</v>
      </c>
      <c r="B312" s="33" t="s">
        <v>46</v>
      </c>
      <c r="C312" s="18"/>
      <c r="D312" s="18"/>
      <c r="E312" s="36"/>
      <c r="F312" s="37">
        <f>F313+F316</f>
        <v>128697.5925</v>
      </c>
    </row>
    <row r="313" spans="1:6" x14ac:dyDescent="0.3">
      <c r="A313" s="1" t="s">
        <v>141</v>
      </c>
      <c r="B313" s="65" t="s">
        <v>87</v>
      </c>
      <c r="C313" s="18"/>
      <c r="D313" s="18"/>
      <c r="E313" s="36"/>
      <c r="F313" s="36">
        <f>F314+F315</f>
        <v>111910.95</v>
      </c>
    </row>
    <row r="314" spans="1:6" x14ac:dyDescent="0.3">
      <c r="A314" s="1" t="s">
        <v>135</v>
      </c>
      <c r="B314" s="65" t="s">
        <v>88</v>
      </c>
      <c r="C314" s="18" t="s">
        <v>89</v>
      </c>
      <c r="D314" s="19">
        <v>0.28999999999999998</v>
      </c>
      <c r="E314" s="36">
        <f>'NHÂN CÔNG'!G7</f>
        <v>256500</v>
      </c>
      <c r="F314" s="36">
        <f>E314*D314</f>
        <v>74385</v>
      </c>
    </row>
    <row r="315" spans="1:6" x14ac:dyDescent="0.3">
      <c r="A315" s="1" t="s">
        <v>135</v>
      </c>
      <c r="B315" s="65" t="s">
        <v>18</v>
      </c>
      <c r="C315" s="18" t="s">
        <v>89</v>
      </c>
      <c r="D315" s="19">
        <v>0.11</v>
      </c>
      <c r="E315" s="36">
        <f>'NHÂN CÔNG'!G10</f>
        <v>341145</v>
      </c>
      <c r="F315" s="36">
        <f t="shared" ref="F315:F321" si="39">E315*D315</f>
        <v>37525.949999999997</v>
      </c>
    </row>
    <row r="316" spans="1:6" ht="37.5" x14ac:dyDescent="0.3">
      <c r="A316" s="1" t="s">
        <v>142</v>
      </c>
      <c r="B316" s="65" t="s">
        <v>91</v>
      </c>
      <c r="C316" s="18" t="s">
        <v>89</v>
      </c>
      <c r="D316" s="19"/>
      <c r="E316" s="36"/>
      <c r="F316" s="36">
        <f>F317+F318</f>
        <v>16786.642500000002</v>
      </c>
    </row>
    <row r="317" spans="1:6" x14ac:dyDescent="0.3">
      <c r="A317" s="1" t="s">
        <v>135</v>
      </c>
      <c r="B317" s="65" t="s">
        <v>88</v>
      </c>
      <c r="C317" s="18" t="s">
        <v>89</v>
      </c>
      <c r="D317" s="19">
        <f>D314*15%</f>
        <v>4.3499999999999997E-2</v>
      </c>
      <c r="E317" s="36">
        <f>E314</f>
        <v>256500</v>
      </c>
      <c r="F317" s="36">
        <f t="shared" si="39"/>
        <v>11157.75</v>
      </c>
    </row>
    <row r="318" spans="1:6" x14ac:dyDescent="0.3">
      <c r="A318" s="1" t="s">
        <v>135</v>
      </c>
      <c r="B318" s="65" t="s">
        <v>18</v>
      </c>
      <c r="C318" s="18" t="s">
        <v>89</v>
      </c>
      <c r="D318" s="19">
        <f>D315*15%</f>
        <v>1.6500000000000001E-2</v>
      </c>
      <c r="E318" s="36">
        <f>E315</f>
        <v>341145</v>
      </c>
      <c r="F318" s="36">
        <f t="shared" si="39"/>
        <v>5628.8924999999999</v>
      </c>
    </row>
    <row r="319" spans="1:6" x14ac:dyDescent="0.3">
      <c r="A319" s="1">
        <v>2</v>
      </c>
      <c r="B319" s="33" t="s">
        <v>47</v>
      </c>
      <c r="C319" s="18"/>
      <c r="D319" s="19"/>
      <c r="E319" s="36"/>
      <c r="F319" s="37">
        <f>F320+F321</f>
        <v>4560.4799999999996</v>
      </c>
    </row>
    <row r="320" spans="1:6" x14ac:dyDescent="0.3">
      <c r="A320" s="1" t="s">
        <v>135</v>
      </c>
      <c r="B320" s="65" t="s">
        <v>6</v>
      </c>
      <c r="C320" s="18" t="s">
        <v>92</v>
      </c>
      <c r="D320" s="19">
        <v>0.38</v>
      </c>
      <c r="E320" s="36">
        <f>'THIẾT BỊ'!F7</f>
        <v>12000</v>
      </c>
      <c r="F320" s="36">
        <f t="shared" si="39"/>
        <v>4560</v>
      </c>
    </row>
    <row r="321" spans="1:6" x14ac:dyDescent="0.3">
      <c r="A321" s="1" t="s">
        <v>135</v>
      </c>
      <c r="B321" s="65" t="s">
        <v>55</v>
      </c>
      <c r="C321" s="18" t="s">
        <v>92</v>
      </c>
      <c r="D321" s="19">
        <v>2E-3</v>
      </c>
      <c r="E321" s="36">
        <f>'THIẾT BỊ'!F9</f>
        <v>240</v>
      </c>
      <c r="F321" s="55">
        <f t="shared" si="39"/>
        <v>0.48</v>
      </c>
    </row>
    <row r="322" spans="1:6" x14ac:dyDescent="0.3">
      <c r="A322" s="1" t="s">
        <v>39</v>
      </c>
      <c r="B322" s="33" t="s">
        <v>11</v>
      </c>
      <c r="C322" s="34" t="s">
        <v>12</v>
      </c>
      <c r="D322" s="35">
        <v>15</v>
      </c>
      <c r="E322" s="36"/>
      <c r="F322" s="37">
        <f>F311*D322%</f>
        <v>19988.710875000001</v>
      </c>
    </row>
    <row r="323" spans="1:6" x14ac:dyDescent="0.3">
      <c r="A323" s="1"/>
      <c r="B323" s="49" t="s">
        <v>85</v>
      </c>
      <c r="C323" s="34"/>
      <c r="D323" s="35"/>
      <c r="E323" s="36"/>
      <c r="F323" s="37">
        <f>F311+F322</f>
        <v>153246.783375</v>
      </c>
    </row>
    <row r="324" spans="1:6" x14ac:dyDescent="0.3">
      <c r="A324" s="28"/>
      <c r="B324" s="30"/>
      <c r="C324" s="30"/>
      <c r="D324" s="30"/>
      <c r="E324" s="31"/>
      <c r="F324" s="31"/>
    </row>
    <row r="325" spans="1:6" x14ac:dyDescent="0.3">
      <c r="A325" s="28">
        <v>3</v>
      </c>
      <c r="B325" s="155" t="s">
        <v>140</v>
      </c>
      <c r="C325" s="155"/>
      <c r="D325" s="155"/>
      <c r="E325" s="155"/>
      <c r="F325" s="155"/>
    </row>
    <row r="326" spans="1:6" ht="19.5" x14ac:dyDescent="0.3">
      <c r="A326" s="28"/>
      <c r="B326" s="63" t="s">
        <v>97</v>
      </c>
      <c r="C326" s="30"/>
      <c r="D326" s="30"/>
      <c r="E326" s="31"/>
      <c r="F326" s="31"/>
    </row>
    <row r="327" spans="1:6" x14ac:dyDescent="0.3">
      <c r="A327" s="28"/>
      <c r="B327" s="70"/>
      <c r="C327" s="30"/>
      <c r="D327" s="30"/>
      <c r="E327" s="31"/>
      <c r="F327" s="31"/>
    </row>
    <row r="328" spans="1:6" ht="37.5" x14ac:dyDescent="0.3">
      <c r="A328" s="1"/>
      <c r="B328" s="24" t="s">
        <v>1</v>
      </c>
      <c r="C328" s="24" t="s">
        <v>72</v>
      </c>
      <c r="D328" s="24" t="s">
        <v>3</v>
      </c>
      <c r="E328" s="32" t="s">
        <v>36</v>
      </c>
      <c r="F328" s="32" t="s">
        <v>27</v>
      </c>
    </row>
    <row r="329" spans="1:6" x14ac:dyDescent="0.3">
      <c r="A329" s="1" t="s">
        <v>38</v>
      </c>
      <c r="B329" s="33" t="s">
        <v>4</v>
      </c>
      <c r="C329" s="34"/>
      <c r="D329" s="35"/>
      <c r="E329" s="36"/>
      <c r="F329" s="37">
        <f>F330+F337+F340</f>
        <v>57407.13005</v>
      </c>
    </row>
    <row r="330" spans="1:6" x14ac:dyDescent="0.3">
      <c r="A330" s="1">
        <v>1</v>
      </c>
      <c r="B330" s="33" t="s">
        <v>46</v>
      </c>
      <c r="C330" s="18"/>
      <c r="D330" s="18"/>
      <c r="E330" s="36"/>
      <c r="F330" s="37">
        <f>F331+F334</f>
        <v>55218.730049999998</v>
      </c>
    </row>
    <row r="331" spans="1:6" x14ac:dyDescent="0.3">
      <c r="A331" s="1" t="s">
        <v>141</v>
      </c>
      <c r="B331" s="65" t="s">
        <v>87</v>
      </c>
      <c r="C331" s="18"/>
      <c r="D331" s="18"/>
      <c r="E331" s="36"/>
      <c r="F331" s="36">
        <f>F332+F333</f>
        <v>48016.286999999997</v>
      </c>
    </row>
    <row r="332" spans="1:6" x14ac:dyDescent="0.3">
      <c r="A332" s="1" t="s">
        <v>135</v>
      </c>
      <c r="B332" s="65" t="s">
        <v>88</v>
      </c>
      <c r="C332" s="18" t="s">
        <v>89</v>
      </c>
      <c r="D332" s="19">
        <v>5.1900000000000002E-2</v>
      </c>
      <c r="E332" s="36">
        <f>'NHÂN CÔNG'!G7</f>
        <v>256500</v>
      </c>
      <c r="F332" s="36">
        <f>E332*D332</f>
        <v>13312.35</v>
      </c>
    </row>
    <row r="333" spans="1:6" x14ac:dyDescent="0.3">
      <c r="A333" s="1" t="s">
        <v>135</v>
      </c>
      <c r="B333" s="65" t="s">
        <v>90</v>
      </c>
      <c r="C333" s="18" t="s">
        <v>89</v>
      </c>
      <c r="D333" s="19">
        <v>0.1109</v>
      </c>
      <c r="E333" s="36">
        <f>'NHÂN CÔNG'!G9</f>
        <v>312930</v>
      </c>
      <c r="F333" s="36">
        <f t="shared" ref="F333:F342" si="40">E333*D333</f>
        <v>34703.936999999998</v>
      </c>
    </row>
    <row r="334" spans="1:6" ht="37.5" x14ac:dyDescent="0.3">
      <c r="A334" s="1" t="s">
        <v>142</v>
      </c>
      <c r="B334" s="65" t="s">
        <v>91</v>
      </c>
      <c r="C334" s="18" t="s">
        <v>89</v>
      </c>
      <c r="D334" s="19"/>
      <c r="E334" s="36"/>
      <c r="F334" s="36">
        <f>F335+F336</f>
        <v>7202.4430499999999</v>
      </c>
    </row>
    <row r="335" spans="1:6" x14ac:dyDescent="0.3">
      <c r="A335" s="1" t="s">
        <v>135</v>
      </c>
      <c r="B335" s="65" t="s">
        <v>88</v>
      </c>
      <c r="C335" s="18" t="s">
        <v>89</v>
      </c>
      <c r="D335" s="19">
        <f>D332*15%</f>
        <v>7.7850000000000003E-3</v>
      </c>
      <c r="E335" s="36">
        <f>E332</f>
        <v>256500</v>
      </c>
      <c r="F335" s="36">
        <f t="shared" si="40"/>
        <v>1996.8525</v>
      </c>
    </row>
    <row r="336" spans="1:6" x14ac:dyDescent="0.3">
      <c r="A336" s="1" t="s">
        <v>135</v>
      </c>
      <c r="B336" s="65" t="s">
        <v>90</v>
      </c>
      <c r="C336" s="18" t="s">
        <v>89</v>
      </c>
      <c r="D336" s="19">
        <f>D333*15%</f>
        <v>1.6635E-2</v>
      </c>
      <c r="E336" s="36">
        <f>E333</f>
        <v>312930</v>
      </c>
      <c r="F336" s="36">
        <f t="shared" si="40"/>
        <v>5205.5905499999999</v>
      </c>
    </row>
    <row r="337" spans="1:6" x14ac:dyDescent="0.3">
      <c r="A337" s="1">
        <v>2</v>
      </c>
      <c r="B337" s="33" t="s">
        <v>47</v>
      </c>
      <c r="C337" s="18"/>
      <c r="D337" s="19"/>
      <c r="E337" s="36"/>
      <c r="F337" s="37">
        <f>F338+F339</f>
        <v>1954.3999999999999</v>
      </c>
    </row>
    <row r="338" spans="1:6" x14ac:dyDescent="0.3">
      <c r="A338" s="1" t="s">
        <v>135</v>
      </c>
      <c r="B338" s="65" t="s">
        <v>6</v>
      </c>
      <c r="C338" s="18" t="s">
        <v>92</v>
      </c>
      <c r="D338" s="19">
        <v>0.1628</v>
      </c>
      <c r="E338" s="36">
        <f>'THIẾT BỊ'!F7</f>
        <v>12000</v>
      </c>
      <c r="F338" s="36">
        <f t="shared" si="40"/>
        <v>1953.6</v>
      </c>
    </row>
    <row r="339" spans="1:6" x14ac:dyDescent="0.3">
      <c r="A339" s="1" t="s">
        <v>135</v>
      </c>
      <c r="B339" s="65" t="s">
        <v>7</v>
      </c>
      <c r="C339" s="18" t="s">
        <v>92</v>
      </c>
      <c r="D339" s="19">
        <v>1E-4</v>
      </c>
      <c r="E339" s="36">
        <f>'THIẾT BỊ'!F8</f>
        <v>8000</v>
      </c>
      <c r="F339" s="55">
        <f t="shared" si="40"/>
        <v>0.8</v>
      </c>
    </row>
    <row r="340" spans="1:6" x14ac:dyDescent="0.3">
      <c r="A340" s="1">
        <v>3</v>
      </c>
      <c r="B340" s="33" t="s">
        <v>48</v>
      </c>
      <c r="C340" s="18"/>
      <c r="D340" s="19"/>
      <c r="E340" s="36"/>
      <c r="F340" s="37">
        <f>F341+F342</f>
        <v>234</v>
      </c>
    </row>
    <row r="341" spans="1:6" x14ac:dyDescent="0.3">
      <c r="A341" s="1" t="s">
        <v>135</v>
      </c>
      <c r="B341" s="65" t="s">
        <v>93</v>
      </c>
      <c r="C341" s="18" t="s">
        <v>15</v>
      </c>
      <c r="D341" s="19">
        <v>5.9999999999999995E-4</v>
      </c>
      <c r="E341" s="36">
        <f>'VẬT LIỆU'!D5</f>
        <v>90000</v>
      </c>
      <c r="F341" s="36">
        <f t="shared" si="40"/>
        <v>53.999999999999993</v>
      </c>
    </row>
    <row r="342" spans="1:6" x14ac:dyDescent="0.3">
      <c r="A342" s="1" t="s">
        <v>135</v>
      </c>
      <c r="B342" s="65" t="s">
        <v>10</v>
      </c>
      <c r="C342" s="18" t="s">
        <v>16</v>
      </c>
      <c r="D342" s="19">
        <v>2.0000000000000001E-4</v>
      </c>
      <c r="E342" s="36">
        <f>'VẬT LIỆU'!D6</f>
        <v>900000</v>
      </c>
      <c r="F342" s="36">
        <f t="shared" si="40"/>
        <v>180</v>
      </c>
    </row>
    <row r="343" spans="1:6" x14ac:dyDescent="0.3">
      <c r="A343" s="1" t="s">
        <v>39</v>
      </c>
      <c r="B343" s="33" t="s">
        <v>11</v>
      </c>
      <c r="C343" s="34" t="s">
        <v>12</v>
      </c>
      <c r="D343" s="35">
        <v>15</v>
      </c>
      <c r="E343" s="36"/>
      <c r="F343" s="37">
        <f>F329*D343%</f>
        <v>8611.0695075000003</v>
      </c>
    </row>
    <row r="344" spans="1:6" x14ac:dyDescent="0.3">
      <c r="A344" s="1"/>
      <c r="B344" s="49" t="s">
        <v>85</v>
      </c>
      <c r="C344" s="34"/>
      <c r="D344" s="35"/>
      <c r="E344" s="36"/>
      <c r="F344" s="37">
        <f>F329+F343</f>
        <v>66018.199557500004</v>
      </c>
    </row>
    <row r="345" spans="1:6" x14ac:dyDescent="0.3">
      <c r="A345" s="28"/>
      <c r="B345" s="30"/>
      <c r="C345" s="30"/>
      <c r="D345" s="30"/>
      <c r="E345" s="31"/>
      <c r="F345" s="31"/>
    </row>
    <row r="346" spans="1:6" x14ac:dyDescent="0.3">
      <c r="A346" s="28">
        <v>4</v>
      </c>
      <c r="B346" s="155" t="s">
        <v>166</v>
      </c>
      <c r="C346" s="155"/>
      <c r="D346" s="155"/>
      <c r="E346" s="155"/>
      <c r="F346" s="155"/>
    </row>
    <row r="347" spans="1:6" ht="19.5" x14ac:dyDescent="0.3">
      <c r="A347" s="28"/>
      <c r="B347" s="63" t="s">
        <v>98</v>
      </c>
      <c r="C347" s="30"/>
      <c r="D347" s="30"/>
      <c r="E347" s="31"/>
      <c r="F347" s="31"/>
    </row>
    <row r="348" spans="1:6" ht="19.5" x14ac:dyDescent="0.3">
      <c r="A348" s="28"/>
      <c r="B348" s="63"/>
      <c r="C348" s="30"/>
      <c r="D348" s="30"/>
      <c r="E348" s="31"/>
      <c r="F348" s="31"/>
    </row>
    <row r="349" spans="1:6" ht="37.5" x14ac:dyDescent="0.3">
      <c r="A349" s="1"/>
      <c r="B349" s="24" t="s">
        <v>1</v>
      </c>
      <c r="C349" s="24" t="s">
        <v>72</v>
      </c>
      <c r="D349" s="24" t="s">
        <v>3</v>
      </c>
      <c r="E349" s="32" t="s">
        <v>36</v>
      </c>
      <c r="F349" s="32" t="s">
        <v>27</v>
      </c>
    </row>
    <row r="350" spans="1:6" x14ac:dyDescent="0.3">
      <c r="A350" s="1" t="s">
        <v>38</v>
      </c>
      <c r="B350" s="33" t="s">
        <v>4</v>
      </c>
      <c r="C350" s="34"/>
      <c r="D350" s="35"/>
      <c r="E350" s="36"/>
      <c r="F350" s="37">
        <f>F351+F358+F361</f>
        <v>200080.3315</v>
      </c>
    </row>
    <row r="351" spans="1:6" x14ac:dyDescent="0.3">
      <c r="A351" s="1">
        <v>1</v>
      </c>
      <c r="B351" s="33" t="s">
        <v>46</v>
      </c>
      <c r="C351" s="18"/>
      <c r="D351" s="18"/>
      <c r="E351" s="36"/>
      <c r="F351" s="37">
        <f>F352+F355</f>
        <v>188412.3315</v>
      </c>
    </row>
    <row r="352" spans="1:6" x14ac:dyDescent="0.3">
      <c r="A352" s="1" t="s">
        <v>141</v>
      </c>
      <c r="B352" s="65" t="s">
        <v>87</v>
      </c>
      <c r="C352" s="18"/>
      <c r="D352" s="18"/>
      <c r="E352" s="36"/>
      <c r="F352" s="36">
        <f>F353+F354</f>
        <v>163836.81</v>
      </c>
    </row>
    <row r="353" spans="1:6" x14ac:dyDescent="0.3">
      <c r="A353" s="1" t="s">
        <v>135</v>
      </c>
      <c r="B353" s="65" t="s">
        <v>88</v>
      </c>
      <c r="C353" s="18" t="s">
        <v>89</v>
      </c>
      <c r="D353" s="19">
        <v>0.313</v>
      </c>
      <c r="E353" s="36">
        <f>'NHÂN CÔNG'!G7</f>
        <v>256500</v>
      </c>
      <c r="F353" s="36">
        <f>E353*D353</f>
        <v>80284.5</v>
      </c>
    </row>
    <row r="354" spans="1:6" x14ac:dyDescent="0.3">
      <c r="A354" s="1" t="s">
        <v>135</v>
      </c>
      <c r="B354" s="65" t="s">
        <v>90</v>
      </c>
      <c r="C354" s="18" t="s">
        <v>89</v>
      </c>
      <c r="D354" s="19">
        <v>0.26700000000000002</v>
      </c>
      <c r="E354" s="36">
        <f>'NHÂN CÔNG'!G9</f>
        <v>312930</v>
      </c>
      <c r="F354" s="36">
        <f t="shared" ref="F354:F363" si="41">E354*D354</f>
        <v>83552.31</v>
      </c>
    </row>
    <row r="355" spans="1:6" ht="37.5" x14ac:dyDescent="0.3">
      <c r="A355" s="1" t="s">
        <v>142</v>
      </c>
      <c r="B355" s="65" t="s">
        <v>91</v>
      </c>
      <c r="C355" s="18" t="s">
        <v>89</v>
      </c>
      <c r="D355" s="19"/>
      <c r="E355" s="36"/>
      <c r="F355" s="36">
        <f>F356+F357</f>
        <v>24575.521500000003</v>
      </c>
    </row>
    <row r="356" spans="1:6" x14ac:dyDescent="0.3">
      <c r="A356" s="1" t="s">
        <v>135</v>
      </c>
      <c r="B356" s="65" t="s">
        <v>88</v>
      </c>
      <c r="C356" s="18" t="s">
        <v>89</v>
      </c>
      <c r="D356" s="19">
        <f>D353*15%</f>
        <v>4.6949999999999999E-2</v>
      </c>
      <c r="E356" s="36">
        <f>E353</f>
        <v>256500</v>
      </c>
      <c r="F356" s="36">
        <f t="shared" si="41"/>
        <v>12042.674999999999</v>
      </c>
    </row>
    <row r="357" spans="1:6" x14ac:dyDescent="0.3">
      <c r="A357" s="1" t="s">
        <v>135</v>
      </c>
      <c r="B357" s="65" t="s">
        <v>90</v>
      </c>
      <c r="C357" s="18" t="s">
        <v>89</v>
      </c>
      <c r="D357" s="19">
        <f>D354*15%</f>
        <v>4.0050000000000002E-2</v>
      </c>
      <c r="E357" s="36">
        <f>E354</f>
        <v>312930</v>
      </c>
      <c r="F357" s="36">
        <f t="shared" si="41"/>
        <v>12532.846500000001</v>
      </c>
    </row>
    <row r="358" spans="1:6" x14ac:dyDescent="0.3">
      <c r="A358" s="1">
        <v>2</v>
      </c>
      <c r="B358" s="33" t="s">
        <v>47</v>
      </c>
      <c r="C358" s="18"/>
      <c r="D358" s="19"/>
      <c r="E358" s="36"/>
      <c r="F358" s="37">
        <f>F359+F360</f>
        <v>6987.9999999999991</v>
      </c>
    </row>
    <row r="359" spans="1:6" x14ac:dyDescent="0.3">
      <c r="A359" s="1" t="s">
        <v>135</v>
      </c>
      <c r="B359" s="65" t="s">
        <v>6</v>
      </c>
      <c r="C359" s="18" t="s">
        <v>92</v>
      </c>
      <c r="D359" s="19">
        <v>0.58099999999999996</v>
      </c>
      <c r="E359" s="36">
        <f>'THIẾT BỊ'!F7</f>
        <v>12000</v>
      </c>
      <c r="F359" s="36">
        <f t="shared" si="41"/>
        <v>6971.9999999999991</v>
      </c>
    </row>
    <row r="360" spans="1:6" x14ac:dyDescent="0.3">
      <c r="A360" s="1" t="s">
        <v>135</v>
      </c>
      <c r="B360" s="65" t="s">
        <v>7</v>
      </c>
      <c r="C360" s="18" t="s">
        <v>92</v>
      </c>
      <c r="D360" s="19">
        <v>2E-3</v>
      </c>
      <c r="E360" s="36">
        <f>'THIẾT BỊ'!F8</f>
        <v>8000</v>
      </c>
      <c r="F360" s="36">
        <f t="shared" si="41"/>
        <v>16</v>
      </c>
    </row>
    <row r="361" spans="1:6" x14ac:dyDescent="0.3">
      <c r="A361" s="1">
        <v>3</v>
      </c>
      <c r="B361" s="33" t="s">
        <v>48</v>
      </c>
      <c r="C361" s="18"/>
      <c r="D361" s="19"/>
      <c r="E361" s="36"/>
      <c r="F361" s="37">
        <f>F362+F363</f>
        <v>4680</v>
      </c>
    </row>
    <row r="362" spans="1:6" x14ac:dyDescent="0.3">
      <c r="A362" s="1" t="s">
        <v>135</v>
      </c>
      <c r="B362" s="65" t="s">
        <v>93</v>
      </c>
      <c r="C362" s="18" t="s">
        <v>15</v>
      </c>
      <c r="D362" s="19">
        <v>1.2E-2</v>
      </c>
      <c r="E362" s="36">
        <f>'VẬT LIỆU'!D5</f>
        <v>90000</v>
      </c>
      <c r="F362" s="36">
        <f t="shared" si="41"/>
        <v>1080</v>
      </c>
    </row>
    <row r="363" spans="1:6" x14ac:dyDescent="0.3">
      <c r="A363" s="1" t="s">
        <v>135</v>
      </c>
      <c r="B363" s="65" t="s">
        <v>10</v>
      </c>
      <c r="C363" s="18" t="s">
        <v>16</v>
      </c>
      <c r="D363" s="19">
        <v>4.0000000000000001E-3</v>
      </c>
      <c r="E363" s="36">
        <f>'VẬT LIỆU'!D6</f>
        <v>900000</v>
      </c>
      <c r="F363" s="36">
        <f t="shared" si="41"/>
        <v>3600</v>
      </c>
    </row>
    <row r="364" spans="1:6" x14ac:dyDescent="0.3">
      <c r="A364" s="1" t="s">
        <v>39</v>
      </c>
      <c r="B364" s="33" t="s">
        <v>11</v>
      </c>
      <c r="C364" s="34" t="s">
        <v>12</v>
      </c>
      <c r="D364" s="35">
        <v>15</v>
      </c>
      <c r="E364" s="36"/>
      <c r="F364" s="37">
        <f>F350*D364%</f>
        <v>30012.049724999997</v>
      </c>
    </row>
    <row r="365" spans="1:6" x14ac:dyDescent="0.3">
      <c r="A365" s="1"/>
      <c r="B365" s="49" t="s">
        <v>85</v>
      </c>
      <c r="C365" s="34"/>
      <c r="D365" s="35"/>
      <c r="E365" s="36"/>
      <c r="F365" s="37">
        <f>F350+F364</f>
        <v>230092.38122499999</v>
      </c>
    </row>
    <row r="366" spans="1:6" ht="15.6" customHeight="1" x14ac:dyDescent="0.3">
      <c r="A366" s="28"/>
      <c r="B366" s="30"/>
      <c r="C366" s="30"/>
      <c r="D366" s="30"/>
      <c r="E366" s="31"/>
      <c r="F366" s="31"/>
    </row>
    <row r="367" spans="1:6" x14ac:dyDescent="0.3">
      <c r="A367" s="28" t="s">
        <v>198</v>
      </c>
      <c r="B367" s="20" t="s">
        <v>99</v>
      </c>
      <c r="C367" s="30"/>
      <c r="D367" s="30"/>
      <c r="E367" s="31"/>
      <c r="F367" s="31"/>
    </row>
    <row r="368" spans="1:6" x14ac:dyDescent="0.3">
      <c r="A368" s="28">
        <v>1</v>
      </c>
      <c r="B368" s="155" t="s">
        <v>167</v>
      </c>
      <c r="C368" s="155"/>
      <c r="D368" s="155"/>
      <c r="E368" s="155"/>
      <c r="F368" s="155"/>
    </row>
    <row r="369" spans="1:13" ht="19.5" x14ac:dyDescent="0.3">
      <c r="A369" s="28"/>
      <c r="B369" s="63" t="s">
        <v>145</v>
      </c>
      <c r="C369" s="30"/>
      <c r="D369" s="30"/>
      <c r="E369" s="31"/>
      <c r="F369" s="31"/>
    </row>
    <row r="370" spans="1:13" ht="19.5" x14ac:dyDescent="0.3">
      <c r="A370" s="28"/>
      <c r="B370" s="63"/>
      <c r="C370" s="30"/>
      <c r="D370" s="30"/>
      <c r="E370" s="31"/>
      <c r="F370" s="31"/>
    </row>
    <row r="371" spans="1:13" x14ac:dyDescent="0.3">
      <c r="A371" s="28"/>
      <c r="B371" s="173" t="s">
        <v>231</v>
      </c>
      <c r="C371" s="174"/>
      <c r="D371" s="174"/>
      <c r="E371" s="174"/>
      <c r="F371" s="174"/>
    </row>
    <row r="372" spans="1:13" ht="42" customHeight="1" x14ac:dyDescent="0.3">
      <c r="A372" s="28"/>
      <c r="B372" s="159" t="s">
        <v>232</v>
      </c>
      <c r="C372" s="170"/>
      <c r="D372" s="170"/>
      <c r="E372" s="170"/>
      <c r="F372" s="170"/>
    </row>
    <row r="373" spans="1:13" ht="29.65" customHeight="1" x14ac:dyDescent="0.3">
      <c r="A373" s="28"/>
      <c r="B373" s="170" t="s">
        <v>233</v>
      </c>
      <c r="C373" s="170"/>
      <c r="D373" s="170"/>
      <c r="E373" s="170"/>
      <c r="F373" s="170"/>
    </row>
    <row r="374" spans="1:13" ht="20.25" x14ac:dyDescent="0.3">
      <c r="A374" s="28"/>
      <c r="B374" s="27" t="s">
        <v>299</v>
      </c>
      <c r="C374" s="30"/>
      <c r="D374" s="30"/>
      <c r="E374" s="31"/>
      <c r="F374" s="31"/>
    </row>
    <row r="375" spans="1:13" x14ac:dyDescent="0.3">
      <c r="A375" s="28"/>
      <c r="B375" s="70"/>
      <c r="C375" s="30"/>
      <c r="D375" s="30"/>
      <c r="E375" s="31"/>
      <c r="F375" s="31"/>
      <c r="H375" s="35" t="s">
        <v>143</v>
      </c>
      <c r="I375" s="71"/>
      <c r="J375" s="72"/>
      <c r="K375" s="73" t="s">
        <v>144</v>
      </c>
      <c r="L375" s="35"/>
    </row>
    <row r="376" spans="1:13" ht="75" x14ac:dyDescent="0.3">
      <c r="A376" s="1"/>
      <c r="B376" s="24" t="s">
        <v>1</v>
      </c>
      <c r="C376" s="24" t="s">
        <v>72</v>
      </c>
      <c r="D376" s="24" t="s">
        <v>3</v>
      </c>
      <c r="E376" s="32" t="s">
        <v>36</v>
      </c>
      <c r="F376" s="32" t="s">
        <v>27</v>
      </c>
      <c r="H376" s="32" t="s">
        <v>148</v>
      </c>
      <c r="I376" s="74" t="s">
        <v>27</v>
      </c>
      <c r="J376" s="75"/>
      <c r="K376" s="76" t="s">
        <v>149</v>
      </c>
      <c r="L376" s="32" t="s">
        <v>27</v>
      </c>
    </row>
    <row r="377" spans="1:13" x14ac:dyDescent="0.3">
      <c r="A377" s="1" t="s">
        <v>38</v>
      </c>
      <c r="B377" s="33" t="s">
        <v>4</v>
      </c>
      <c r="C377" s="34"/>
      <c r="D377" s="35"/>
      <c r="E377" s="36"/>
      <c r="F377" s="37">
        <f>F378+F385+F388</f>
        <v>28353418.584999997</v>
      </c>
      <c r="H377" s="35"/>
      <c r="I377" s="77">
        <f>I378+I385+I388</f>
        <v>29771089.514250003</v>
      </c>
      <c r="J377" s="78"/>
      <c r="K377" s="73"/>
      <c r="L377" s="37">
        <f>L378+L385+L388</f>
        <v>26935747.655749999</v>
      </c>
    </row>
    <row r="378" spans="1:13" x14ac:dyDescent="0.3">
      <c r="A378" s="1">
        <v>1</v>
      </c>
      <c r="B378" s="33" t="s">
        <v>46</v>
      </c>
      <c r="C378" s="18"/>
      <c r="D378" s="18"/>
      <c r="E378" s="36"/>
      <c r="F378" s="37">
        <f>F379+F382</f>
        <v>26175078.584999997</v>
      </c>
      <c r="H378" s="35"/>
      <c r="I378" s="77">
        <f>I379+I382</f>
        <v>27483832.514250003</v>
      </c>
      <c r="J378" s="78">
        <f>I378-F378</f>
        <v>1308753.9292500056</v>
      </c>
      <c r="K378" s="73"/>
      <c r="L378" s="37">
        <f>L379+L382</f>
        <v>24866324.655749999</v>
      </c>
      <c r="M378" s="46">
        <f>F378-L378</f>
        <v>1308753.9292499982</v>
      </c>
    </row>
    <row r="379" spans="1:13" x14ac:dyDescent="0.3">
      <c r="A379" s="1" t="s">
        <v>141</v>
      </c>
      <c r="B379" s="65" t="s">
        <v>87</v>
      </c>
      <c r="C379" s="18"/>
      <c r="D379" s="18"/>
      <c r="E379" s="36"/>
      <c r="F379" s="36">
        <f>F380+F381</f>
        <v>22760937.899999999</v>
      </c>
      <c r="H379" s="35"/>
      <c r="I379" s="79">
        <f>I380+I381</f>
        <v>23898984.795000002</v>
      </c>
      <c r="J379" s="80"/>
      <c r="K379" s="73"/>
      <c r="L379" s="36">
        <f>SUM(L380:L381)</f>
        <v>21622891.004999999</v>
      </c>
      <c r="M379" s="46"/>
    </row>
    <row r="380" spans="1:13" x14ac:dyDescent="0.3">
      <c r="A380" s="1" t="s">
        <v>135</v>
      </c>
      <c r="B380" s="65" t="s">
        <v>88</v>
      </c>
      <c r="C380" s="18" t="s">
        <v>89</v>
      </c>
      <c r="D380" s="19">
        <v>33.19</v>
      </c>
      <c r="E380" s="36">
        <f>'NHÂN CÔNG'!G7</f>
        <v>256500</v>
      </c>
      <c r="F380" s="36">
        <f>E380*D380</f>
        <v>8513235</v>
      </c>
      <c r="H380" s="35">
        <f>D380*1.05</f>
        <v>34.849499999999999</v>
      </c>
      <c r="I380" s="79">
        <f>E380*H380</f>
        <v>8938896.75</v>
      </c>
      <c r="J380" s="80"/>
      <c r="K380" s="73">
        <f>D380*0.95</f>
        <v>31.530499999999996</v>
      </c>
      <c r="L380" s="36">
        <f>E380*K380</f>
        <v>8087573.2499999991</v>
      </c>
      <c r="M380" s="46"/>
    </row>
    <row r="381" spans="1:13" x14ac:dyDescent="0.3">
      <c r="A381" s="1" t="s">
        <v>135</v>
      </c>
      <c r="B381" s="65" t="s">
        <v>90</v>
      </c>
      <c r="C381" s="18" t="s">
        <v>89</v>
      </c>
      <c r="D381" s="19">
        <v>45.53</v>
      </c>
      <c r="E381" s="36">
        <f>'NHÂN CÔNG'!G9</f>
        <v>312930</v>
      </c>
      <c r="F381" s="36">
        <f t="shared" ref="F381:F390" si="42">E381*D381</f>
        <v>14247702.9</v>
      </c>
      <c r="H381" s="35">
        <f>D381*1.05</f>
        <v>47.8065</v>
      </c>
      <c r="I381" s="79">
        <f>E381*H381</f>
        <v>14960088.045</v>
      </c>
      <c r="J381" s="80"/>
      <c r="K381" s="73">
        <f>D381*0.95</f>
        <v>43.253500000000003</v>
      </c>
      <c r="L381" s="36">
        <f>E381*K381</f>
        <v>13535317.755000001</v>
      </c>
      <c r="M381" s="46"/>
    </row>
    <row r="382" spans="1:13" ht="37.5" x14ac:dyDescent="0.3">
      <c r="A382" s="1" t="s">
        <v>142</v>
      </c>
      <c r="B382" s="65" t="s">
        <v>91</v>
      </c>
      <c r="C382" s="18" t="s">
        <v>89</v>
      </c>
      <c r="D382" s="19"/>
      <c r="E382" s="36"/>
      <c r="F382" s="36">
        <f>F383+F384</f>
        <v>3414140.6849999996</v>
      </c>
      <c r="H382" s="35"/>
      <c r="I382" s="79">
        <f>I383+I384</f>
        <v>3584847.7192499996</v>
      </c>
      <c r="J382" s="80"/>
      <c r="K382" s="73"/>
      <c r="L382" s="36">
        <f>L383+L384</f>
        <v>3243433.65075</v>
      </c>
      <c r="M382" s="46"/>
    </row>
    <row r="383" spans="1:13" x14ac:dyDescent="0.3">
      <c r="A383" s="1" t="s">
        <v>135</v>
      </c>
      <c r="B383" s="65" t="s">
        <v>88</v>
      </c>
      <c r="C383" s="18" t="s">
        <v>89</v>
      </c>
      <c r="D383" s="19">
        <f>D380*15%</f>
        <v>4.9784999999999995</v>
      </c>
      <c r="E383" s="36">
        <f>E380</f>
        <v>256500</v>
      </c>
      <c r="F383" s="36">
        <f t="shared" si="42"/>
        <v>1276985.2499999998</v>
      </c>
      <c r="H383" s="35">
        <f>H380*15%</f>
        <v>5.2274249999999993</v>
      </c>
      <c r="I383" s="79">
        <f>E383*H383</f>
        <v>1340834.5124999997</v>
      </c>
      <c r="J383" s="80"/>
      <c r="K383" s="73">
        <f>D383*0.95</f>
        <v>4.7295749999999996</v>
      </c>
      <c r="L383" s="36">
        <f>E383*K383</f>
        <v>1213135.9874999998</v>
      </c>
      <c r="M383" s="46"/>
    </row>
    <row r="384" spans="1:13" x14ac:dyDescent="0.3">
      <c r="A384" s="1" t="s">
        <v>135</v>
      </c>
      <c r="B384" s="65" t="s">
        <v>90</v>
      </c>
      <c r="C384" s="18" t="s">
        <v>89</v>
      </c>
      <c r="D384" s="19">
        <f>D381*15%</f>
        <v>6.8295000000000003</v>
      </c>
      <c r="E384" s="36">
        <f>E381</f>
        <v>312930</v>
      </c>
      <c r="F384" s="36">
        <f t="shared" si="42"/>
        <v>2137155.4350000001</v>
      </c>
      <c r="H384" s="35">
        <f>H381*15%</f>
        <v>7.1709749999999994</v>
      </c>
      <c r="I384" s="79">
        <f>E384*H384</f>
        <v>2244013.2067499999</v>
      </c>
      <c r="J384" s="80"/>
      <c r="K384" s="73">
        <f>D384*0.95</f>
        <v>6.4880250000000004</v>
      </c>
      <c r="L384" s="36">
        <f>E384*K384</f>
        <v>2030297.6632500002</v>
      </c>
      <c r="M384" s="46"/>
    </row>
    <row r="385" spans="1:13" x14ac:dyDescent="0.3">
      <c r="A385" s="1">
        <v>2</v>
      </c>
      <c r="B385" s="33" t="s">
        <v>47</v>
      </c>
      <c r="C385" s="18"/>
      <c r="D385" s="19"/>
      <c r="E385" s="36"/>
      <c r="F385" s="37">
        <f>F386+F387</f>
        <v>949840</v>
      </c>
      <c r="H385" s="35"/>
      <c r="I385" s="77">
        <f>I386+I387</f>
        <v>997332.00000000012</v>
      </c>
      <c r="J385" s="78">
        <f>I385-F385</f>
        <v>47492.000000000116</v>
      </c>
      <c r="K385" s="73"/>
      <c r="L385" s="37">
        <f>L386+L387</f>
        <v>902347.99999999988</v>
      </c>
      <c r="M385" s="46">
        <f t="shared" ref="M385:M391" si="43">F385-L385</f>
        <v>47492.000000000116</v>
      </c>
    </row>
    <row r="386" spans="1:13" x14ac:dyDescent="0.3">
      <c r="A386" s="1" t="s">
        <v>135</v>
      </c>
      <c r="B386" s="65" t="s">
        <v>6</v>
      </c>
      <c r="C386" s="18" t="s">
        <v>92</v>
      </c>
      <c r="D386" s="19">
        <v>78.72</v>
      </c>
      <c r="E386" s="36">
        <f>'THIẾT BỊ'!F7</f>
        <v>12000</v>
      </c>
      <c r="F386" s="36">
        <f t="shared" si="42"/>
        <v>944640</v>
      </c>
      <c r="H386" s="35">
        <f>D386*1.05</f>
        <v>82.656000000000006</v>
      </c>
      <c r="I386" s="79">
        <f>E386*H386</f>
        <v>991872.00000000012</v>
      </c>
      <c r="J386" s="80"/>
      <c r="K386" s="73">
        <f>D386*0.95</f>
        <v>74.783999999999992</v>
      </c>
      <c r="L386" s="36">
        <f>E386*K386</f>
        <v>897407.99999999988</v>
      </c>
      <c r="M386" s="46"/>
    </row>
    <row r="387" spans="1:13" x14ac:dyDescent="0.3">
      <c r="A387" s="1" t="s">
        <v>135</v>
      </c>
      <c r="B387" s="65" t="s">
        <v>7</v>
      </c>
      <c r="C387" s="18" t="s">
        <v>92</v>
      </c>
      <c r="D387" s="19">
        <v>0.65</v>
      </c>
      <c r="E387" s="36">
        <f>'THIẾT BỊ'!F8</f>
        <v>8000</v>
      </c>
      <c r="F387" s="36">
        <f t="shared" si="42"/>
        <v>5200</v>
      </c>
      <c r="H387" s="35">
        <f>D387*1.05</f>
        <v>0.68250000000000011</v>
      </c>
      <c r="I387" s="79">
        <f>E387*H387</f>
        <v>5460.0000000000009</v>
      </c>
      <c r="J387" s="80"/>
      <c r="K387" s="73">
        <f>D387*0.95</f>
        <v>0.61749999999999994</v>
      </c>
      <c r="L387" s="36">
        <f>E387*K387</f>
        <v>4939.9999999999991</v>
      </c>
      <c r="M387" s="46"/>
    </row>
    <row r="388" spans="1:13" x14ac:dyDescent="0.3">
      <c r="A388" s="1">
        <v>3</v>
      </c>
      <c r="B388" s="33" t="s">
        <v>48</v>
      </c>
      <c r="C388" s="18"/>
      <c r="D388" s="19"/>
      <c r="E388" s="36"/>
      <c r="F388" s="37">
        <f>F389+F390</f>
        <v>1228500</v>
      </c>
      <c r="H388" s="35"/>
      <c r="I388" s="77">
        <f>I389+I390</f>
        <v>1289925</v>
      </c>
      <c r="J388" s="78">
        <f>I388-F388</f>
        <v>61425</v>
      </c>
      <c r="K388" s="73"/>
      <c r="L388" s="37">
        <f>L389+L390</f>
        <v>1167075</v>
      </c>
      <c r="M388" s="46">
        <f t="shared" si="43"/>
        <v>61425</v>
      </c>
    </row>
    <row r="389" spans="1:13" x14ac:dyDescent="0.3">
      <c r="A389" s="1" t="s">
        <v>135</v>
      </c>
      <c r="B389" s="65" t="s">
        <v>93</v>
      </c>
      <c r="C389" s="18" t="s">
        <v>15</v>
      </c>
      <c r="D389" s="19">
        <v>3.15</v>
      </c>
      <c r="E389" s="36">
        <f>'VẬT LIỆU'!D5</f>
        <v>90000</v>
      </c>
      <c r="F389" s="36">
        <f t="shared" si="42"/>
        <v>283500</v>
      </c>
      <c r="H389" s="35">
        <f>D389*1.05</f>
        <v>3.3075000000000001</v>
      </c>
      <c r="I389" s="79">
        <f>E389*H389</f>
        <v>297675</v>
      </c>
      <c r="J389" s="80"/>
      <c r="K389" s="73">
        <f>D389*0.95</f>
        <v>2.9924999999999997</v>
      </c>
      <c r="L389" s="36">
        <f>E389*K389</f>
        <v>269325</v>
      </c>
      <c r="M389" s="46"/>
    </row>
    <row r="390" spans="1:13" x14ac:dyDescent="0.3">
      <c r="A390" s="1" t="s">
        <v>135</v>
      </c>
      <c r="B390" s="65" t="s">
        <v>10</v>
      </c>
      <c r="C390" s="18" t="s">
        <v>16</v>
      </c>
      <c r="D390" s="19">
        <v>1.05</v>
      </c>
      <c r="E390" s="36">
        <f>'VẬT LIỆU'!D6</f>
        <v>900000</v>
      </c>
      <c r="F390" s="36">
        <f t="shared" si="42"/>
        <v>945000</v>
      </c>
      <c r="H390" s="35">
        <f>D390*1.05</f>
        <v>1.1025</v>
      </c>
      <c r="I390" s="79">
        <f>E390*H390</f>
        <v>992250</v>
      </c>
      <c r="J390" s="80"/>
      <c r="K390" s="73">
        <f>D390*0.95</f>
        <v>0.99749999999999994</v>
      </c>
      <c r="L390" s="36">
        <f>E390*K390</f>
        <v>897750</v>
      </c>
      <c r="M390" s="46"/>
    </row>
    <row r="391" spans="1:13" x14ac:dyDescent="0.3">
      <c r="A391" s="1" t="s">
        <v>39</v>
      </c>
      <c r="B391" s="33" t="s">
        <v>11</v>
      </c>
      <c r="C391" s="34" t="s">
        <v>12</v>
      </c>
      <c r="D391" s="35">
        <v>15</v>
      </c>
      <c r="E391" s="36"/>
      <c r="F391" s="37">
        <f>F377*D391%</f>
        <v>4253012.7877499992</v>
      </c>
      <c r="H391" s="35"/>
      <c r="I391" s="77">
        <f>I377*D391%</f>
        <v>4465663.4271375006</v>
      </c>
      <c r="J391" s="78">
        <f>I391-F391</f>
        <v>212650.6393875014</v>
      </c>
      <c r="K391" s="73"/>
      <c r="L391" s="43">
        <f>15%*L377</f>
        <v>4040362.1483624997</v>
      </c>
      <c r="M391" s="46">
        <f t="shared" si="43"/>
        <v>212650.63938749954</v>
      </c>
    </row>
    <row r="392" spans="1:13" ht="23.1" customHeight="1" x14ac:dyDescent="0.3">
      <c r="A392" s="1"/>
      <c r="B392" s="49" t="s">
        <v>85</v>
      </c>
      <c r="C392" s="38"/>
      <c r="D392" s="33"/>
      <c r="E392" s="37"/>
      <c r="F392" s="37">
        <f>F377+F391</f>
        <v>32606431.372749995</v>
      </c>
      <c r="H392" s="35"/>
      <c r="I392" s="81">
        <f>I377+I391</f>
        <v>34236752.941387504</v>
      </c>
      <c r="J392" s="78">
        <f>I392-F392</f>
        <v>1630321.5686375089</v>
      </c>
      <c r="K392" s="82"/>
      <c r="L392" s="83">
        <f>L391+L377</f>
        <v>30976109.804112498</v>
      </c>
      <c r="M392" s="46">
        <f>F392-L392</f>
        <v>1630321.5686374977</v>
      </c>
    </row>
    <row r="393" spans="1:13" ht="42" customHeight="1" x14ac:dyDescent="0.3">
      <c r="A393" s="1"/>
      <c r="B393" s="84" t="s">
        <v>288</v>
      </c>
      <c r="C393" s="38"/>
      <c r="D393" s="33"/>
      <c r="E393" s="37"/>
      <c r="F393" s="43">
        <f>J392</f>
        <v>1630321.5686375089</v>
      </c>
      <c r="I393" s="85"/>
      <c r="K393" s="85"/>
      <c r="L393" s="85"/>
    </row>
    <row r="394" spans="1:13" ht="36.950000000000003" customHeight="1" x14ac:dyDescent="0.3">
      <c r="A394" s="1"/>
      <c r="B394" s="84" t="s">
        <v>289</v>
      </c>
      <c r="C394" s="38"/>
      <c r="D394" s="33"/>
      <c r="E394" s="37"/>
      <c r="F394" s="43">
        <f>M392</f>
        <v>1630321.5686374977</v>
      </c>
    </row>
    <row r="395" spans="1:13" x14ac:dyDescent="0.3">
      <c r="A395" s="28"/>
      <c r="B395" s="30"/>
      <c r="C395" s="30"/>
      <c r="D395" s="30"/>
      <c r="E395" s="31"/>
      <c r="F395" s="31"/>
    </row>
    <row r="396" spans="1:13" x14ac:dyDescent="0.3">
      <c r="A396" s="28">
        <v>2</v>
      </c>
      <c r="B396" s="20" t="s">
        <v>168</v>
      </c>
      <c r="C396" s="30"/>
      <c r="D396" s="30"/>
      <c r="E396" s="30"/>
      <c r="F396" s="31"/>
    </row>
    <row r="397" spans="1:13" ht="19.5" x14ac:dyDescent="0.3">
      <c r="A397" s="28"/>
      <c r="B397" s="63" t="s">
        <v>100</v>
      </c>
      <c r="C397" s="30"/>
      <c r="D397" s="30"/>
      <c r="E397" s="31"/>
      <c r="F397" s="31"/>
    </row>
    <row r="398" spans="1:13" x14ac:dyDescent="0.3">
      <c r="A398" s="28"/>
      <c r="B398" s="86"/>
      <c r="C398" s="30"/>
      <c r="D398" s="30"/>
      <c r="E398" s="31"/>
      <c r="F398" s="31"/>
    </row>
    <row r="399" spans="1:13" ht="21.6" customHeight="1" x14ac:dyDescent="0.3">
      <c r="A399" s="28"/>
      <c r="B399" s="173" t="s">
        <v>234</v>
      </c>
      <c r="C399" s="173"/>
      <c r="D399" s="173"/>
      <c r="E399" s="173"/>
      <c r="F399" s="173"/>
    </row>
    <row r="400" spans="1:13" ht="38.65" customHeight="1" x14ac:dyDescent="0.3">
      <c r="A400" s="28"/>
      <c r="B400" s="159" t="s">
        <v>235</v>
      </c>
      <c r="C400" s="170"/>
      <c r="D400" s="170"/>
      <c r="E400" s="170"/>
      <c r="F400" s="170"/>
    </row>
    <row r="401" spans="1:13" ht="32.65" customHeight="1" x14ac:dyDescent="0.3">
      <c r="A401" s="28"/>
      <c r="B401" s="159" t="s">
        <v>236</v>
      </c>
      <c r="C401" s="170"/>
      <c r="D401" s="170"/>
      <c r="E401" s="170"/>
      <c r="F401" s="170"/>
    </row>
    <row r="402" spans="1:13" ht="20.25" x14ac:dyDescent="0.3">
      <c r="A402" s="28"/>
      <c r="B402" s="166" t="s">
        <v>300</v>
      </c>
      <c r="C402" s="166"/>
      <c r="D402" s="166"/>
      <c r="E402" s="166"/>
      <c r="F402" s="166"/>
    </row>
    <row r="403" spans="1:13" x14ac:dyDescent="0.3">
      <c r="A403" s="28"/>
      <c r="B403" s="70"/>
      <c r="C403" s="30"/>
      <c r="D403" s="30"/>
      <c r="E403" s="31"/>
      <c r="F403" s="31"/>
    </row>
    <row r="404" spans="1:13" x14ac:dyDescent="0.3">
      <c r="A404" s="28"/>
      <c r="B404" s="70"/>
      <c r="C404" s="30"/>
      <c r="D404" s="30"/>
      <c r="E404" s="31"/>
      <c r="F404" s="31"/>
      <c r="H404" s="30" t="s">
        <v>146</v>
      </c>
      <c r="K404" s="30" t="s">
        <v>147</v>
      </c>
    </row>
    <row r="405" spans="1:13" ht="75" x14ac:dyDescent="0.3">
      <c r="A405" s="1"/>
      <c r="B405" s="24" t="s">
        <v>1</v>
      </c>
      <c r="C405" s="24" t="s">
        <v>72</v>
      </c>
      <c r="D405" s="24" t="s">
        <v>3</v>
      </c>
      <c r="E405" s="32" t="s">
        <v>36</v>
      </c>
      <c r="F405" s="74" t="s">
        <v>27</v>
      </c>
      <c r="G405" s="87"/>
      <c r="H405" s="88" t="s">
        <v>148</v>
      </c>
      <c r="I405" s="74" t="s">
        <v>27</v>
      </c>
      <c r="J405" s="75"/>
      <c r="K405" s="88" t="s">
        <v>149</v>
      </c>
      <c r="L405" s="32" t="s">
        <v>27</v>
      </c>
    </row>
    <row r="406" spans="1:13" x14ac:dyDescent="0.3">
      <c r="A406" s="1" t="s">
        <v>38</v>
      </c>
      <c r="B406" s="33" t="s">
        <v>4</v>
      </c>
      <c r="C406" s="34"/>
      <c r="D406" s="35"/>
      <c r="E406" s="36"/>
      <c r="F406" s="89">
        <f>F407+F414+F417</f>
        <v>20356303.380000003</v>
      </c>
      <c r="G406" s="87"/>
      <c r="H406" s="73"/>
      <c r="I406" s="77">
        <f>I407+I414+I417</f>
        <v>21374118.549000002</v>
      </c>
      <c r="J406" s="78"/>
      <c r="K406" s="90">
        <f t="shared" ref="K406" si="44">K407+K414+K417</f>
        <v>0</v>
      </c>
      <c r="L406" s="43">
        <f>L407+L414+L417</f>
        <v>19338488.210999999</v>
      </c>
    </row>
    <row r="407" spans="1:13" x14ac:dyDescent="0.3">
      <c r="A407" s="1">
        <v>1</v>
      </c>
      <c r="B407" s="33" t="s">
        <v>46</v>
      </c>
      <c r="C407" s="18"/>
      <c r="D407" s="18"/>
      <c r="E407" s="36"/>
      <c r="F407" s="89">
        <f>F408+F411</f>
        <v>19027303.380000003</v>
      </c>
      <c r="G407" s="91">
        <f t="shared" ref="G407:K407" si="45">G408+G411</f>
        <v>0</v>
      </c>
      <c r="H407" s="92">
        <f t="shared" si="45"/>
        <v>0</v>
      </c>
      <c r="I407" s="89">
        <f>I408+I411</f>
        <v>19978668.549000002</v>
      </c>
      <c r="J407" s="93">
        <f>I407-F407</f>
        <v>951365.16899999976</v>
      </c>
      <c r="K407" s="94">
        <f t="shared" si="45"/>
        <v>0</v>
      </c>
      <c r="L407" s="37">
        <f>L408+L411</f>
        <v>18075938.210999999</v>
      </c>
      <c r="M407" s="46">
        <f>F407-L407</f>
        <v>951365.16900000349</v>
      </c>
    </row>
    <row r="408" spans="1:13" ht="19.5" x14ac:dyDescent="0.3">
      <c r="A408" s="1" t="s">
        <v>141</v>
      </c>
      <c r="B408" s="95" t="s">
        <v>87</v>
      </c>
      <c r="C408" s="18"/>
      <c r="D408" s="18"/>
      <c r="E408" s="36"/>
      <c r="F408" s="92">
        <f>F409+F410</f>
        <v>16545481.200000001</v>
      </c>
      <c r="G408" s="87"/>
      <c r="H408" s="73"/>
      <c r="I408" s="79">
        <f>I409+I410</f>
        <v>17372755.260000002</v>
      </c>
      <c r="J408" s="96"/>
      <c r="K408" s="73"/>
      <c r="L408" s="44">
        <f>L409+L410</f>
        <v>15718207.140000001</v>
      </c>
      <c r="M408" s="46"/>
    </row>
    <row r="409" spans="1:13" x14ac:dyDescent="0.3">
      <c r="A409" s="1" t="s">
        <v>135</v>
      </c>
      <c r="B409" s="65" t="s">
        <v>88</v>
      </c>
      <c r="C409" s="18" t="s">
        <v>89</v>
      </c>
      <c r="D409" s="19">
        <v>11.63</v>
      </c>
      <c r="E409" s="36">
        <f>'NHÂN CÔNG'!G7</f>
        <v>256500</v>
      </c>
      <c r="F409" s="92">
        <f>E409*D409</f>
        <v>2983095</v>
      </c>
      <c r="G409" s="87"/>
      <c r="H409" s="73">
        <f>D409*1.05</f>
        <v>12.211500000000001</v>
      </c>
      <c r="I409" s="79">
        <f>E409*H409</f>
        <v>3132249.7500000005</v>
      </c>
      <c r="J409" s="78"/>
      <c r="K409" s="73">
        <f>D409*0.95</f>
        <v>11.048500000000001</v>
      </c>
      <c r="L409" s="44">
        <f>E409*K409</f>
        <v>2833940.25</v>
      </c>
      <c r="M409" s="46"/>
    </row>
    <row r="410" spans="1:13" x14ac:dyDescent="0.3">
      <c r="A410" s="1" t="s">
        <v>135</v>
      </c>
      <c r="B410" s="65" t="s">
        <v>90</v>
      </c>
      <c r="C410" s="18" t="s">
        <v>89</v>
      </c>
      <c r="D410" s="19">
        <v>43.34</v>
      </c>
      <c r="E410" s="36">
        <f>'NHÂN CÔNG'!G9</f>
        <v>312930</v>
      </c>
      <c r="F410" s="92">
        <f t="shared" ref="F410:F419" si="46">E410*D410</f>
        <v>13562386.200000001</v>
      </c>
      <c r="G410" s="87"/>
      <c r="H410" s="73">
        <f>D410*1.05</f>
        <v>45.507000000000005</v>
      </c>
      <c r="I410" s="79">
        <f t="shared" ref="I410:I419" si="47">E410*H410</f>
        <v>14240505.510000002</v>
      </c>
      <c r="J410" s="78"/>
      <c r="K410" s="73">
        <f t="shared" ref="K410:K419" si="48">D410*0.95</f>
        <v>41.173000000000002</v>
      </c>
      <c r="L410" s="44">
        <f t="shared" ref="L410:L419" si="49">E410*K410</f>
        <v>12884266.890000001</v>
      </c>
      <c r="M410" s="46"/>
    </row>
    <row r="411" spans="1:13" ht="39" x14ac:dyDescent="0.3">
      <c r="A411" s="1" t="s">
        <v>142</v>
      </c>
      <c r="B411" s="95" t="s">
        <v>91</v>
      </c>
      <c r="C411" s="18"/>
      <c r="D411" s="19"/>
      <c r="E411" s="36"/>
      <c r="F411" s="92">
        <f>F412+F413</f>
        <v>2481822.1800000002</v>
      </c>
      <c r="G411" s="87"/>
      <c r="H411" s="73"/>
      <c r="I411" s="79">
        <f>I412+I413</f>
        <v>2605913.2889999999</v>
      </c>
      <c r="J411" s="78"/>
      <c r="K411" s="73">
        <f t="shared" si="48"/>
        <v>0</v>
      </c>
      <c r="L411" s="44">
        <f>L412+L413</f>
        <v>2357731.071</v>
      </c>
      <c r="M411" s="46"/>
    </row>
    <row r="412" spans="1:13" x14ac:dyDescent="0.3">
      <c r="A412" s="1" t="s">
        <v>135</v>
      </c>
      <c r="B412" s="65" t="s">
        <v>88</v>
      </c>
      <c r="C412" s="18" t="s">
        <v>89</v>
      </c>
      <c r="D412" s="19">
        <f>D409*15%</f>
        <v>1.7445000000000002</v>
      </c>
      <c r="E412" s="36">
        <f>E409</f>
        <v>256500</v>
      </c>
      <c r="F412" s="92">
        <f t="shared" si="46"/>
        <v>447464.25000000006</v>
      </c>
      <c r="G412" s="87"/>
      <c r="H412" s="73">
        <f>H409*15%</f>
        <v>1.831725</v>
      </c>
      <c r="I412" s="79">
        <f t="shared" si="47"/>
        <v>469837.46250000002</v>
      </c>
      <c r="J412" s="78"/>
      <c r="K412" s="73">
        <f>K409*15%</f>
        <v>1.6572750000000001</v>
      </c>
      <c r="L412" s="44">
        <f t="shared" si="49"/>
        <v>425091.03750000003</v>
      </c>
      <c r="M412" s="46"/>
    </row>
    <row r="413" spans="1:13" x14ac:dyDescent="0.3">
      <c r="A413" s="1" t="s">
        <v>135</v>
      </c>
      <c r="B413" s="65" t="s">
        <v>90</v>
      </c>
      <c r="C413" s="18" t="s">
        <v>89</v>
      </c>
      <c r="D413" s="19">
        <f>D410*15%</f>
        <v>6.5010000000000003</v>
      </c>
      <c r="E413" s="36">
        <f>E410</f>
        <v>312930</v>
      </c>
      <c r="F413" s="92">
        <f t="shared" si="46"/>
        <v>2034357.9300000002</v>
      </c>
      <c r="G413" s="87"/>
      <c r="H413" s="73">
        <f>H410*15%</f>
        <v>6.8260500000000004</v>
      </c>
      <c r="I413" s="79">
        <f>E413*H413</f>
        <v>2136075.8265</v>
      </c>
      <c r="J413" s="78"/>
      <c r="K413" s="73">
        <f>K410*15%</f>
        <v>6.1759500000000003</v>
      </c>
      <c r="L413" s="44">
        <f t="shared" si="49"/>
        <v>1932640.0335000001</v>
      </c>
      <c r="M413" s="46"/>
    </row>
    <row r="414" spans="1:13" x14ac:dyDescent="0.3">
      <c r="A414" s="1">
        <v>2</v>
      </c>
      <c r="B414" s="33" t="s">
        <v>47</v>
      </c>
      <c r="C414" s="18"/>
      <c r="D414" s="19"/>
      <c r="E414" s="36"/>
      <c r="F414" s="89">
        <f>F415+F416</f>
        <v>650400</v>
      </c>
      <c r="G414" s="87"/>
      <c r="H414" s="73"/>
      <c r="I414" s="77">
        <f>I415+I416</f>
        <v>682920</v>
      </c>
      <c r="J414" s="78">
        <f>I414-F414</f>
        <v>32520</v>
      </c>
      <c r="K414" s="73">
        <f t="shared" si="48"/>
        <v>0</v>
      </c>
      <c r="L414" s="43">
        <f>L415+L416</f>
        <v>617880</v>
      </c>
      <c r="M414" s="46">
        <f t="shared" ref="M414:M420" si="50">F414-L414</f>
        <v>32520</v>
      </c>
    </row>
    <row r="415" spans="1:13" x14ac:dyDescent="0.3">
      <c r="A415" s="1" t="s">
        <v>135</v>
      </c>
      <c r="B415" s="65" t="s">
        <v>6</v>
      </c>
      <c r="C415" s="18" t="s">
        <v>92</v>
      </c>
      <c r="D415" s="19">
        <v>53.96</v>
      </c>
      <c r="E415" s="36">
        <f>'THIẾT BỊ'!F7</f>
        <v>12000</v>
      </c>
      <c r="F415" s="92">
        <f t="shared" si="46"/>
        <v>647520</v>
      </c>
      <c r="G415" s="87"/>
      <c r="H415" s="73">
        <f>D415*1.05</f>
        <v>56.658000000000001</v>
      </c>
      <c r="I415" s="79">
        <f t="shared" si="47"/>
        <v>679896</v>
      </c>
      <c r="J415" s="78"/>
      <c r="K415" s="73">
        <f t="shared" si="48"/>
        <v>51.262</v>
      </c>
      <c r="L415" s="44">
        <f t="shared" si="49"/>
        <v>615144</v>
      </c>
      <c r="M415" s="46"/>
    </row>
    <row r="416" spans="1:13" x14ac:dyDescent="0.3">
      <c r="A416" s="1" t="s">
        <v>135</v>
      </c>
      <c r="B416" s="65" t="s">
        <v>7</v>
      </c>
      <c r="C416" s="18" t="s">
        <v>92</v>
      </c>
      <c r="D416" s="19">
        <v>0.36</v>
      </c>
      <c r="E416" s="36">
        <f>'THIẾT BỊ'!F8</f>
        <v>8000</v>
      </c>
      <c r="F416" s="92">
        <f t="shared" si="46"/>
        <v>2880</v>
      </c>
      <c r="G416" s="87"/>
      <c r="H416" s="73">
        <f>D416*1.05</f>
        <v>0.378</v>
      </c>
      <c r="I416" s="79">
        <f t="shared" si="47"/>
        <v>3024</v>
      </c>
      <c r="J416" s="78"/>
      <c r="K416" s="73">
        <f t="shared" si="48"/>
        <v>0.34199999999999997</v>
      </c>
      <c r="L416" s="44">
        <f t="shared" si="49"/>
        <v>2735.9999999999995</v>
      </c>
      <c r="M416" s="46"/>
    </row>
    <row r="417" spans="1:13" x14ac:dyDescent="0.3">
      <c r="A417" s="1">
        <v>3</v>
      </c>
      <c r="B417" s="33" t="s">
        <v>48</v>
      </c>
      <c r="C417" s="18"/>
      <c r="D417" s="19"/>
      <c r="E417" s="36"/>
      <c r="F417" s="89">
        <f>F418+F419</f>
        <v>678600</v>
      </c>
      <c r="G417" s="87"/>
      <c r="H417" s="73"/>
      <c r="I417" s="77">
        <f>I418+I419</f>
        <v>712530</v>
      </c>
      <c r="J417" s="78">
        <f>I417-F417</f>
        <v>33930</v>
      </c>
      <c r="K417" s="73">
        <f t="shared" si="48"/>
        <v>0</v>
      </c>
      <c r="L417" s="43">
        <f>L418+L419</f>
        <v>644670</v>
      </c>
      <c r="M417" s="46">
        <f t="shared" si="50"/>
        <v>33930</v>
      </c>
    </row>
    <row r="418" spans="1:13" x14ac:dyDescent="0.3">
      <c r="A418" s="1" t="s">
        <v>135</v>
      </c>
      <c r="B418" s="65" t="s">
        <v>93</v>
      </c>
      <c r="C418" s="18" t="s">
        <v>15</v>
      </c>
      <c r="D418" s="19">
        <v>1.74</v>
      </c>
      <c r="E418" s="36">
        <f>'VẬT LIỆU'!D5</f>
        <v>90000</v>
      </c>
      <c r="F418" s="92">
        <f t="shared" si="46"/>
        <v>156600</v>
      </c>
      <c r="G418" s="87"/>
      <c r="H418" s="73">
        <f>D418*1.05</f>
        <v>1.827</v>
      </c>
      <c r="I418" s="79">
        <f t="shared" si="47"/>
        <v>164430</v>
      </c>
      <c r="J418" s="78"/>
      <c r="K418" s="73">
        <f t="shared" si="48"/>
        <v>1.653</v>
      </c>
      <c r="L418" s="44">
        <f t="shared" si="49"/>
        <v>148770</v>
      </c>
      <c r="M418" s="46"/>
    </row>
    <row r="419" spans="1:13" x14ac:dyDescent="0.3">
      <c r="A419" s="1" t="s">
        <v>135</v>
      </c>
      <c r="B419" s="65" t="s">
        <v>10</v>
      </c>
      <c r="C419" s="18" t="s">
        <v>16</v>
      </c>
      <c r="D419" s="19">
        <v>0.57999999999999996</v>
      </c>
      <c r="E419" s="36">
        <f>'VẬT LIỆU'!D6</f>
        <v>900000</v>
      </c>
      <c r="F419" s="92">
        <f t="shared" si="46"/>
        <v>521999.99999999994</v>
      </c>
      <c r="G419" s="87"/>
      <c r="H419" s="73">
        <f t="shared" ref="H419" si="51">D419*1.05</f>
        <v>0.60899999999999999</v>
      </c>
      <c r="I419" s="79">
        <f t="shared" si="47"/>
        <v>548100</v>
      </c>
      <c r="J419" s="78"/>
      <c r="K419" s="73">
        <f t="shared" si="48"/>
        <v>0.55099999999999993</v>
      </c>
      <c r="L419" s="44">
        <f t="shared" si="49"/>
        <v>495899.99999999994</v>
      </c>
      <c r="M419" s="46"/>
    </row>
    <row r="420" spans="1:13" x14ac:dyDescent="0.3">
      <c r="A420" s="1" t="s">
        <v>39</v>
      </c>
      <c r="B420" s="33" t="s">
        <v>11</v>
      </c>
      <c r="C420" s="34" t="s">
        <v>12</v>
      </c>
      <c r="D420" s="35">
        <v>15</v>
      </c>
      <c r="E420" s="36"/>
      <c r="F420" s="89">
        <f>F406*$D$420%</f>
        <v>3053445.5070000002</v>
      </c>
      <c r="G420" s="97">
        <f t="shared" ref="G420:L420" si="52">G406*$D$420%</f>
        <v>0</v>
      </c>
      <c r="H420" s="89">
        <f t="shared" si="52"/>
        <v>0</v>
      </c>
      <c r="I420" s="89">
        <f t="shared" si="52"/>
        <v>3206117.7823500005</v>
      </c>
      <c r="J420" s="93">
        <f>I420-F420</f>
        <v>152672.27535000024</v>
      </c>
      <c r="K420" s="98">
        <f t="shared" si="52"/>
        <v>0</v>
      </c>
      <c r="L420" s="37">
        <f t="shared" si="52"/>
        <v>2900773.23165</v>
      </c>
      <c r="M420" s="46">
        <f t="shared" si="50"/>
        <v>152672.27535000024</v>
      </c>
    </row>
    <row r="421" spans="1:13" x14ac:dyDescent="0.3">
      <c r="A421" s="1"/>
      <c r="B421" s="49" t="s">
        <v>85</v>
      </c>
      <c r="C421" s="38"/>
      <c r="D421" s="33"/>
      <c r="E421" s="37"/>
      <c r="F421" s="89">
        <f>F406+F420</f>
        <v>23409748.887000002</v>
      </c>
      <c r="G421" s="97">
        <f t="shared" ref="G421:L421" si="53">G406+G420</f>
        <v>0</v>
      </c>
      <c r="H421" s="89">
        <f t="shared" si="53"/>
        <v>0</v>
      </c>
      <c r="I421" s="89">
        <f>I406+I420</f>
        <v>24580236.331350002</v>
      </c>
      <c r="J421" s="93">
        <f>I421-F421</f>
        <v>1170487.4443500005</v>
      </c>
      <c r="K421" s="98">
        <f t="shared" si="53"/>
        <v>0</v>
      </c>
      <c r="L421" s="37">
        <f t="shared" si="53"/>
        <v>22239261.442649998</v>
      </c>
      <c r="M421" s="46">
        <f>F421-L421</f>
        <v>1170487.4443500042</v>
      </c>
    </row>
    <row r="422" spans="1:13" ht="37.5" x14ac:dyDescent="0.3">
      <c r="A422" s="1"/>
      <c r="B422" s="84" t="s">
        <v>291</v>
      </c>
      <c r="C422" s="38"/>
      <c r="D422" s="33"/>
      <c r="E422" s="37"/>
      <c r="F422" s="77">
        <f>J421</f>
        <v>1170487.4443500005</v>
      </c>
      <c r="G422" s="87"/>
      <c r="H422" s="73"/>
      <c r="I422" s="71"/>
      <c r="J422" s="72"/>
      <c r="K422" s="73"/>
      <c r="L422" s="35"/>
    </row>
    <row r="423" spans="1:13" ht="37.5" x14ac:dyDescent="0.3">
      <c r="A423" s="1"/>
      <c r="B423" s="84" t="s">
        <v>292</v>
      </c>
      <c r="C423" s="38"/>
      <c r="D423" s="33"/>
      <c r="E423" s="37"/>
      <c r="F423" s="77">
        <f>M421</f>
        <v>1170487.4443500042</v>
      </c>
      <c r="G423" s="87"/>
      <c r="H423" s="73"/>
      <c r="I423" s="71"/>
      <c r="J423" s="72"/>
      <c r="K423" s="73"/>
      <c r="L423" s="35"/>
    </row>
    <row r="424" spans="1:13" x14ac:dyDescent="0.3">
      <c r="A424" s="28"/>
      <c r="B424" s="30"/>
      <c r="C424" s="30"/>
      <c r="D424" s="30"/>
      <c r="E424" s="31"/>
      <c r="F424" s="31"/>
    </row>
    <row r="425" spans="1:13" x14ac:dyDescent="0.3">
      <c r="A425" s="28">
        <v>3</v>
      </c>
      <c r="B425" s="155" t="s">
        <v>169</v>
      </c>
      <c r="C425" s="155"/>
      <c r="D425" s="155"/>
      <c r="E425" s="155"/>
      <c r="F425" s="155"/>
    </row>
    <row r="426" spans="1:13" ht="19.5" x14ac:dyDescent="0.3">
      <c r="A426" s="28"/>
      <c r="B426" s="63" t="s">
        <v>100</v>
      </c>
      <c r="C426" s="20"/>
      <c r="D426" s="20"/>
      <c r="E426" s="20"/>
      <c r="F426" s="20"/>
    </row>
    <row r="427" spans="1:13" x14ac:dyDescent="0.3">
      <c r="A427" s="28"/>
      <c r="B427" s="165" t="s">
        <v>239</v>
      </c>
      <c r="C427" s="165"/>
      <c r="D427" s="165"/>
      <c r="E427" s="165"/>
      <c r="F427" s="165"/>
    </row>
    <row r="428" spans="1:13" ht="31.9" customHeight="1" x14ac:dyDescent="0.3">
      <c r="A428" s="28"/>
      <c r="B428" s="165" t="s">
        <v>237</v>
      </c>
      <c r="C428" s="165"/>
      <c r="D428" s="165"/>
      <c r="E428" s="165"/>
      <c r="F428" s="165"/>
    </row>
    <row r="429" spans="1:13" ht="28.9" customHeight="1" x14ac:dyDescent="0.3">
      <c r="A429" s="28"/>
      <c r="B429" s="165" t="s">
        <v>238</v>
      </c>
      <c r="C429" s="165"/>
      <c r="D429" s="165"/>
      <c r="E429" s="165"/>
      <c r="F429" s="165"/>
    </row>
    <row r="430" spans="1:13" ht="20.25" x14ac:dyDescent="0.3">
      <c r="A430" s="28"/>
      <c r="B430" s="166" t="s">
        <v>301</v>
      </c>
      <c r="C430" s="166"/>
      <c r="D430" s="166"/>
      <c r="E430" s="166"/>
      <c r="F430" s="166"/>
    </row>
    <row r="431" spans="1:13" x14ac:dyDescent="0.3">
      <c r="A431" s="28"/>
      <c r="B431" s="30"/>
      <c r="C431" s="30"/>
      <c r="D431" s="30"/>
      <c r="E431" s="31"/>
      <c r="F431" s="31"/>
    </row>
    <row r="432" spans="1:13" x14ac:dyDescent="0.3">
      <c r="A432" s="28"/>
      <c r="B432" s="70"/>
      <c r="C432" s="30"/>
      <c r="D432" s="30"/>
      <c r="E432" s="31"/>
      <c r="F432" s="31"/>
      <c r="H432" s="30" t="s">
        <v>150</v>
      </c>
      <c r="K432" s="30" t="s">
        <v>151</v>
      </c>
    </row>
    <row r="433" spans="1:13" ht="75" x14ac:dyDescent="0.3">
      <c r="A433" s="1"/>
      <c r="B433" s="24" t="s">
        <v>1</v>
      </c>
      <c r="C433" s="24" t="s">
        <v>72</v>
      </c>
      <c r="D433" s="24" t="s">
        <v>3</v>
      </c>
      <c r="E433" s="32" t="s">
        <v>36</v>
      </c>
      <c r="F433" s="32" t="s">
        <v>27</v>
      </c>
      <c r="H433" s="24" t="s">
        <v>152</v>
      </c>
      <c r="I433" s="32" t="s">
        <v>27</v>
      </c>
      <c r="J433" s="99"/>
      <c r="K433" s="24" t="s">
        <v>153</v>
      </c>
      <c r="L433" s="32" t="s">
        <v>27</v>
      </c>
    </row>
    <row r="434" spans="1:13" x14ac:dyDescent="0.3">
      <c r="A434" s="1" t="s">
        <v>38</v>
      </c>
      <c r="B434" s="33" t="s">
        <v>4</v>
      </c>
      <c r="C434" s="34"/>
      <c r="D434" s="35"/>
      <c r="E434" s="36"/>
      <c r="F434" s="37">
        <f>F435+F442+F445</f>
        <v>116384038.28999999</v>
      </c>
      <c r="G434" s="100">
        <f t="shared" ref="G434" si="54">G435+G444+G447</f>
        <v>0</v>
      </c>
      <c r="H434" s="37"/>
      <c r="I434" s="37">
        <f>I435+I442+I445</f>
        <v>128022442.119</v>
      </c>
      <c r="J434" s="37"/>
      <c r="K434" s="37"/>
      <c r="L434" s="37">
        <f>L435+L442+L445</f>
        <v>104745634.46099998</v>
      </c>
    </row>
    <row r="435" spans="1:13" x14ac:dyDescent="0.3">
      <c r="A435" s="1">
        <v>1</v>
      </c>
      <c r="B435" s="33" t="s">
        <v>46</v>
      </c>
      <c r="C435" s="18"/>
      <c r="D435" s="18"/>
      <c r="E435" s="36"/>
      <c r="F435" s="37">
        <f>F436+F439</f>
        <v>89904958.289999992</v>
      </c>
      <c r="G435" s="101">
        <f t="shared" ref="G435:K435" si="55">G436+G439</f>
        <v>0</v>
      </c>
      <c r="H435" s="36">
        <f t="shared" si="55"/>
        <v>0</v>
      </c>
      <c r="I435" s="37">
        <f t="shared" si="55"/>
        <v>98895454.119000003</v>
      </c>
      <c r="J435" s="37">
        <f>I435-F435</f>
        <v>8990495.8290000111</v>
      </c>
      <c r="K435" s="36">
        <f t="shared" si="55"/>
        <v>0</v>
      </c>
      <c r="L435" s="37">
        <f>L436+L439</f>
        <v>80914462.460999981</v>
      </c>
      <c r="M435" s="46">
        <f>F435-L435</f>
        <v>8990495.8290000111</v>
      </c>
    </row>
    <row r="436" spans="1:13" ht="19.5" x14ac:dyDescent="0.3">
      <c r="A436" s="1" t="s">
        <v>141</v>
      </c>
      <c r="B436" s="95" t="s">
        <v>87</v>
      </c>
      <c r="C436" s="18"/>
      <c r="D436" s="18"/>
      <c r="E436" s="36"/>
      <c r="F436" s="36">
        <f>F437+F438</f>
        <v>78178224.599999994</v>
      </c>
      <c r="G436" s="101">
        <f t="shared" ref="G436:L436" si="56">G437+G438</f>
        <v>0</v>
      </c>
      <c r="H436" s="36"/>
      <c r="I436" s="36">
        <f>I437+I438</f>
        <v>85996047.060000002</v>
      </c>
      <c r="J436" s="37"/>
      <c r="K436" s="36"/>
      <c r="L436" s="36">
        <f t="shared" si="56"/>
        <v>70360402.139999986</v>
      </c>
      <c r="M436" s="46"/>
    </row>
    <row r="437" spans="1:13" x14ac:dyDescent="0.3">
      <c r="A437" s="1" t="s">
        <v>135</v>
      </c>
      <c r="B437" s="65" t="s">
        <v>88</v>
      </c>
      <c r="C437" s="18" t="s">
        <v>89</v>
      </c>
      <c r="D437" s="19">
        <v>162.38999999999999</v>
      </c>
      <c r="E437" s="36">
        <f>'NHÂN CÔNG'!G7</f>
        <v>256500</v>
      </c>
      <c r="F437" s="36">
        <f>E437*D437</f>
        <v>41653035</v>
      </c>
      <c r="H437" s="35">
        <f>D437*1.1</f>
        <v>178.62899999999999</v>
      </c>
      <c r="I437" s="44">
        <f>E437*H437</f>
        <v>45818338.5</v>
      </c>
      <c r="J437" s="37"/>
      <c r="K437" s="35">
        <f>D437*0.9</f>
        <v>146.15099999999998</v>
      </c>
      <c r="L437" s="44">
        <f>E437*K437</f>
        <v>37487731.499999993</v>
      </c>
      <c r="M437" s="46"/>
    </row>
    <row r="438" spans="1:13" x14ac:dyDescent="0.3">
      <c r="A438" s="1" t="s">
        <v>135</v>
      </c>
      <c r="B438" s="65" t="s">
        <v>90</v>
      </c>
      <c r="C438" s="18" t="s">
        <v>89</v>
      </c>
      <c r="D438" s="19">
        <v>116.72</v>
      </c>
      <c r="E438" s="36">
        <f>'NHÂN CÔNG'!G9</f>
        <v>312930</v>
      </c>
      <c r="F438" s="36">
        <f t="shared" ref="F438:F447" si="57">E438*D438</f>
        <v>36525189.600000001</v>
      </c>
      <c r="H438" s="35">
        <f t="shared" ref="H438:H447" si="58">D438*1.1</f>
        <v>128.392</v>
      </c>
      <c r="I438" s="44">
        <f t="shared" ref="I438:I447" si="59">E438*H438</f>
        <v>40177708.560000002</v>
      </c>
      <c r="J438" s="37"/>
      <c r="K438" s="35">
        <f>D438*0.9</f>
        <v>105.048</v>
      </c>
      <c r="L438" s="44">
        <f t="shared" ref="L438:L447" si="60">E438*K438</f>
        <v>32872670.640000001</v>
      </c>
      <c r="M438" s="46"/>
    </row>
    <row r="439" spans="1:13" ht="39" x14ac:dyDescent="0.3">
      <c r="A439" s="1" t="s">
        <v>142</v>
      </c>
      <c r="B439" s="95" t="s">
        <v>91</v>
      </c>
      <c r="C439" s="18"/>
      <c r="D439" s="19"/>
      <c r="E439" s="36"/>
      <c r="F439" s="36">
        <f>F440+F441</f>
        <v>11726733.689999998</v>
      </c>
      <c r="G439" s="101">
        <f t="shared" ref="G439:L439" si="61">G440+G441</f>
        <v>0</v>
      </c>
      <c r="H439" s="36"/>
      <c r="I439" s="36">
        <f t="shared" si="61"/>
        <v>12899407.058999998</v>
      </c>
      <c r="J439" s="37"/>
      <c r="K439" s="36"/>
      <c r="L439" s="36">
        <f t="shared" si="61"/>
        <v>10554060.320999999</v>
      </c>
      <c r="M439" s="46"/>
    </row>
    <row r="440" spans="1:13" x14ac:dyDescent="0.3">
      <c r="A440" s="1" t="s">
        <v>135</v>
      </c>
      <c r="B440" s="65" t="s">
        <v>88</v>
      </c>
      <c r="C440" s="18" t="s">
        <v>89</v>
      </c>
      <c r="D440" s="19">
        <f>D437*15%</f>
        <v>24.358499999999996</v>
      </c>
      <c r="E440" s="36">
        <f>E437</f>
        <v>256500</v>
      </c>
      <c r="F440" s="36">
        <f t="shared" si="57"/>
        <v>6247955.2499999991</v>
      </c>
      <c r="H440" s="35">
        <f>H437*15%</f>
        <v>26.794349999999998</v>
      </c>
      <c r="I440" s="44">
        <f t="shared" si="59"/>
        <v>6872750.7749999994</v>
      </c>
      <c r="J440" s="37"/>
      <c r="K440" s="35">
        <f>K437*15%</f>
        <v>21.922649999999997</v>
      </c>
      <c r="L440" s="44">
        <f t="shared" si="60"/>
        <v>5623159.7249999996</v>
      </c>
      <c r="M440" s="46"/>
    </row>
    <row r="441" spans="1:13" x14ac:dyDescent="0.3">
      <c r="A441" s="1" t="s">
        <v>135</v>
      </c>
      <c r="B441" s="65" t="s">
        <v>90</v>
      </c>
      <c r="C441" s="18" t="s">
        <v>89</v>
      </c>
      <c r="D441" s="19">
        <f>D438*15%</f>
        <v>17.507999999999999</v>
      </c>
      <c r="E441" s="36">
        <f>E438</f>
        <v>312930</v>
      </c>
      <c r="F441" s="36">
        <f t="shared" si="57"/>
        <v>5478778.4399999995</v>
      </c>
      <c r="H441" s="35">
        <f>H438*15%</f>
        <v>19.258799999999997</v>
      </c>
      <c r="I441" s="44">
        <f t="shared" si="59"/>
        <v>6026656.2839999991</v>
      </c>
      <c r="J441" s="37"/>
      <c r="K441" s="35">
        <f>K438*15%</f>
        <v>15.757199999999999</v>
      </c>
      <c r="L441" s="44">
        <f t="shared" si="60"/>
        <v>4930900.5959999999</v>
      </c>
      <c r="M441" s="46"/>
    </row>
    <row r="442" spans="1:13" x14ac:dyDescent="0.3">
      <c r="A442" s="1">
        <v>2</v>
      </c>
      <c r="B442" s="33" t="s">
        <v>47</v>
      </c>
      <c r="C442" s="18"/>
      <c r="D442" s="19"/>
      <c r="E442" s="36"/>
      <c r="F442" s="37">
        <f>F443+F444</f>
        <v>3430080.0000000005</v>
      </c>
      <c r="G442" s="101">
        <f t="shared" ref="G442:L442" si="62">G443+G444</f>
        <v>0</v>
      </c>
      <c r="H442" s="36"/>
      <c r="I442" s="37">
        <f t="shared" si="62"/>
        <v>3773088.0000000009</v>
      </c>
      <c r="J442" s="37">
        <f t="shared" ref="J442:J448" si="63">I442-F442</f>
        <v>343008.00000000047</v>
      </c>
      <c r="K442" s="36"/>
      <c r="L442" s="37">
        <f t="shared" si="62"/>
        <v>3087072.0000000005</v>
      </c>
      <c r="M442" s="46">
        <f t="shared" ref="M442:M448" si="64">F442-L442</f>
        <v>343008</v>
      </c>
    </row>
    <row r="443" spans="1:13" x14ac:dyDescent="0.3">
      <c r="A443" s="1" t="s">
        <v>135</v>
      </c>
      <c r="B443" s="65" t="s">
        <v>6</v>
      </c>
      <c r="C443" s="18" t="s">
        <v>92</v>
      </c>
      <c r="D443" s="19">
        <v>277.60000000000002</v>
      </c>
      <c r="E443" s="36">
        <f>'THIẾT BỊ'!F7</f>
        <v>12000</v>
      </c>
      <c r="F443" s="36">
        <f t="shared" si="57"/>
        <v>3331200.0000000005</v>
      </c>
      <c r="H443" s="35">
        <f>D443*1.1</f>
        <v>305.36000000000007</v>
      </c>
      <c r="I443" s="44">
        <f t="shared" si="59"/>
        <v>3664320.0000000009</v>
      </c>
      <c r="J443" s="37"/>
      <c r="K443" s="35">
        <f t="shared" ref="K443:K447" si="65">D443*0.9</f>
        <v>249.84000000000003</v>
      </c>
      <c r="L443" s="44">
        <f t="shared" si="60"/>
        <v>2998080.0000000005</v>
      </c>
      <c r="M443" s="46"/>
    </row>
    <row r="444" spans="1:13" x14ac:dyDescent="0.3">
      <c r="A444" s="1" t="s">
        <v>135</v>
      </c>
      <c r="B444" s="65" t="s">
        <v>7</v>
      </c>
      <c r="C444" s="18" t="s">
        <v>92</v>
      </c>
      <c r="D444" s="19">
        <v>12.36</v>
      </c>
      <c r="E444" s="36">
        <f>'THIẾT BỊ'!F8</f>
        <v>8000</v>
      </c>
      <c r="F444" s="36">
        <f t="shared" si="57"/>
        <v>98880</v>
      </c>
      <c r="H444" s="35">
        <f>D444*1.1</f>
        <v>13.596</v>
      </c>
      <c r="I444" s="44">
        <f t="shared" si="59"/>
        <v>108768</v>
      </c>
      <c r="J444" s="37"/>
      <c r="K444" s="35">
        <f t="shared" si="65"/>
        <v>11.124000000000001</v>
      </c>
      <c r="L444" s="44">
        <f t="shared" si="60"/>
        <v>88992</v>
      </c>
      <c r="M444" s="46"/>
    </row>
    <row r="445" spans="1:13" x14ac:dyDescent="0.3">
      <c r="A445" s="1">
        <v>3</v>
      </c>
      <c r="B445" s="33" t="s">
        <v>48</v>
      </c>
      <c r="C445" s="18"/>
      <c r="D445" s="19"/>
      <c r="E445" s="36"/>
      <c r="F445" s="37">
        <f>F446+F447</f>
        <v>23049000</v>
      </c>
      <c r="G445" s="101">
        <f t="shared" ref="G445:L445" si="66">G446+G447</f>
        <v>0</v>
      </c>
      <c r="H445" s="36"/>
      <c r="I445" s="37">
        <f>I446+I447</f>
        <v>25353900</v>
      </c>
      <c r="J445" s="37">
        <f t="shared" si="63"/>
        <v>2304900</v>
      </c>
      <c r="K445" s="36"/>
      <c r="L445" s="37">
        <f t="shared" si="66"/>
        <v>20744100</v>
      </c>
      <c r="M445" s="46">
        <f t="shared" si="64"/>
        <v>2304900</v>
      </c>
    </row>
    <row r="446" spans="1:13" x14ac:dyDescent="0.3">
      <c r="A446" s="1" t="s">
        <v>135</v>
      </c>
      <c r="B446" s="65" t="s">
        <v>93</v>
      </c>
      <c r="C446" s="18" t="s">
        <v>15</v>
      </c>
      <c r="D446" s="19">
        <v>59.1</v>
      </c>
      <c r="E446" s="36">
        <f>'VẬT LIỆU'!D5</f>
        <v>90000</v>
      </c>
      <c r="F446" s="36">
        <f t="shared" si="57"/>
        <v>5319000</v>
      </c>
      <c r="H446" s="35">
        <f>D446*1.1</f>
        <v>65.010000000000005</v>
      </c>
      <c r="I446" s="44">
        <f t="shared" si="59"/>
        <v>5850900</v>
      </c>
      <c r="J446" s="37"/>
      <c r="K446" s="35">
        <f t="shared" si="65"/>
        <v>53.190000000000005</v>
      </c>
      <c r="L446" s="44">
        <f t="shared" si="60"/>
        <v>4787100</v>
      </c>
      <c r="M446" s="46"/>
    </row>
    <row r="447" spans="1:13" x14ac:dyDescent="0.3">
      <c r="A447" s="1" t="s">
        <v>135</v>
      </c>
      <c r="B447" s="65" t="s">
        <v>10</v>
      </c>
      <c r="C447" s="18" t="s">
        <v>16</v>
      </c>
      <c r="D447" s="19">
        <v>19.7</v>
      </c>
      <c r="E447" s="36">
        <f>'VẬT LIỆU'!D6</f>
        <v>900000</v>
      </c>
      <c r="F447" s="36">
        <f t="shared" si="57"/>
        <v>17730000</v>
      </c>
      <c r="H447" s="35">
        <f t="shared" si="58"/>
        <v>21.67</v>
      </c>
      <c r="I447" s="44">
        <f t="shared" si="59"/>
        <v>19503000</v>
      </c>
      <c r="J447" s="37"/>
      <c r="K447" s="35">
        <f t="shared" si="65"/>
        <v>17.73</v>
      </c>
      <c r="L447" s="44">
        <f t="shared" si="60"/>
        <v>15957000</v>
      </c>
      <c r="M447" s="46"/>
    </row>
    <row r="448" spans="1:13" x14ac:dyDescent="0.3">
      <c r="A448" s="1" t="s">
        <v>39</v>
      </c>
      <c r="B448" s="33" t="s">
        <v>11</v>
      </c>
      <c r="C448" s="34" t="s">
        <v>12</v>
      </c>
      <c r="D448" s="35">
        <v>15</v>
      </c>
      <c r="E448" s="36"/>
      <c r="F448" s="37">
        <f>F434*$D$448%</f>
        <v>17457605.743499998</v>
      </c>
      <c r="G448" s="100">
        <f t="shared" ref="G448" si="67">G434*$D$448%</f>
        <v>0</v>
      </c>
      <c r="H448" s="37"/>
      <c r="I448" s="37">
        <f>I434*$D$448%</f>
        <v>19203366.317850001</v>
      </c>
      <c r="J448" s="37">
        <f t="shared" si="63"/>
        <v>1745760.5743500032</v>
      </c>
      <c r="K448" s="37"/>
      <c r="L448" s="37">
        <f>L434*$D$448%</f>
        <v>15711845.169149997</v>
      </c>
      <c r="M448" s="46">
        <f t="shared" si="64"/>
        <v>1745760.5743500013</v>
      </c>
    </row>
    <row r="449" spans="1:13" x14ac:dyDescent="0.3">
      <c r="A449" s="1"/>
      <c r="B449" s="49" t="s">
        <v>85</v>
      </c>
      <c r="C449" s="38"/>
      <c r="D449" s="33"/>
      <c r="E449" s="37"/>
      <c r="F449" s="37">
        <f>F434+F448</f>
        <v>133841644.03349999</v>
      </c>
      <c r="G449" s="100">
        <f t="shared" ref="G449:L449" si="68">G434+G448</f>
        <v>0</v>
      </c>
      <c r="H449" s="37"/>
      <c r="I449" s="37">
        <f>I434+I448</f>
        <v>147225808.43685001</v>
      </c>
      <c r="J449" s="37">
        <f>I449-F449</f>
        <v>13384164.403350025</v>
      </c>
      <c r="K449" s="37"/>
      <c r="L449" s="37">
        <f t="shared" si="68"/>
        <v>120457479.63014998</v>
      </c>
      <c r="M449" s="46">
        <f>F449-L449</f>
        <v>13384164.403350011</v>
      </c>
    </row>
    <row r="450" spans="1:13" ht="37.5" x14ac:dyDescent="0.3">
      <c r="A450" s="1"/>
      <c r="B450" s="84" t="s">
        <v>294</v>
      </c>
      <c r="C450" s="38"/>
      <c r="D450" s="33"/>
      <c r="E450" s="37"/>
      <c r="F450" s="43">
        <f>J449</f>
        <v>13384164.403350025</v>
      </c>
      <c r="H450" s="35"/>
      <c r="I450" s="35"/>
      <c r="K450" s="35"/>
      <c r="L450" s="35"/>
    </row>
    <row r="451" spans="1:13" ht="37.5" x14ac:dyDescent="0.3">
      <c r="A451" s="1"/>
      <c r="B451" s="84" t="s">
        <v>295</v>
      </c>
      <c r="C451" s="38"/>
      <c r="D451" s="33"/>
      <c r="E451" s="37"/>
      <c r="F451" s="43">
        <f>M449</f>
        <v>13384164.403350011</v>
      </c>
      <c r="H451" s="35"/>
      <c r="I451" s="35"/>
      <c r="K451" s="35"/>
      <c r="L451" s="35"/>
    </row>
    <row r="452" spans="1:13" x14ac:dyDescent="0.3">
      <c r="A452" s="28"/>
      <c r="B452" s="23"/>
      <c r="C452" s="30"/>
      <c r="D452" s="30"/>
      <c r="E452" s="31"/>
      <c r="F452" s="31"/>
    </row>
    <row r="453" spans="1:13" x14ac:dyDescent="0.3">
      <c r="A453" s="28" t="s">
        <v>199</v>
      </c>
      <c r="B453" s="20" t="s">
        <v>101</v>
      </c>
      <c r="C453" s="30"/>
      <c r="D453" s="30"/>
      <c r="E453" s="31"/>
      <c r="F453" s="31"/>
    </row>
    <row r="454" spans="1:13" x14ac:dyDescent="0.3">
      <c r="A454" s="28">
        <v>1</v>
      </c>
      <c r="B454" s="64" t="s">
        <v>170</v>
      </c>
      <c r="C454" s="30"/>
      <c r="D454" s="30"/>
      <c r="E454" s="31"/>
      <c r="F454" s="31"/>
    </row>
    <row r="455" spans="1:13" ht="19.5" x14ac:dyDescent="0.3">
      <c r="A455" s="28"/>
      <c r="B455" s="63" t="s">
        <v>102</v>
      </c>
      <c r="C455" s="30"/>
      <c r="D455" s="30"/>
      <c r="E455" s="31"/>
      <c r="F455" s="31"/>
    </row>
    <row r="456" spans="1:13" x14ac:dyDescent="0.3">
      <c r="A456" s="28"/>
      <c r="B456" s="30"/>
      <c r="C456" s="30"/>
      <c r="D456" s="30"/>
      <c r="E456" s="31"/>
      <c r="F456" s="31"/>
    </row>
    <row r="457" spans="1:13" ht="37.5" x14ac:dyDescent="0.3">
      <c r="A457" s="1"/>
      <c r="B457" s="24" t="s">
        <v>1</v>
      </c>
      <c r="C457" s="24" t="s">
        <v>72</v>
      </c>
      <c r="D457" s="24" t="s">
        <v>3</v>
      </c>
      <c r="E457" s="32" t="s">
        <v>36</v>
      </c>
      <c r="F457" s="32" t="s">
        <v>27</v>
      </c>
    </row>
    <row r="458" spans="1:13" x14ac:dyDescent="0.3">
      <c r="A458" s="1" t="s">
        <v>38</v>
      </c>
      <c r="B458" s="33" t="s">
        <v>4</v>
      </c>
      <c r="C458" s="34"/>
      <c r="D458" s="35"/>
      <c r="E458" s="36"/>
      <c r="F458" s="37">
        <f>F459+F466+F469</f>
        <v>54619304.897500001</v>
      </c>
    </row>
    <row r="459" spans="1:13" x14ac:dyDescent="0.3">
      <c r="A459" s="1">
        <v>1</v>
      </c>
      <c r="B459" s="33" t="s">
        <v>46</v>
      </c>
      <c r="C459" s="24"/>
      <c r="D459" s="24"/>
      <c r="E459" s="37"/>
      <c r="F459" s="37">
        <f>F460+F463</f>
        <v>52205884.897500001</v>
      </c>
    </row>
    <row r="460" spans="1:13" ht="19.5" x14ac:dyDescent="0.35">
      <c r="A460" s="1" t="s">
        <v>141</v>
      </c>
      <c r="B460" s="95" t="s">
        <v>87</v>
      </c>
      <c r="C460" s="25"/>
      <c r="D460" s="25"/>
      <c r="E460" s="102"/>
      <c r="F460" s="36">
        <f>F461+F462</f>
        <v>45396421.649999999</v>
      </c>
    </row>
    <row r="461" spans="1:13" x14ac:dyDescent="0.3">
      <c r="A461" s="1" t="s">
        <v>135</v>
      </c>
      <c r="B461" s="65" t="s">
        <v>103</v>
      </c>
      <c r="C461" s="18" t="s">
        <v>89</v>
      </c>
      <c r="D461" s="19">
        <v>192.69</v>
      </c>
      <c r="E461" s="36">
        <f>'NHÂN CÔNG'!G6</f>
        <v>228285</v>
      </c>
      <c r="F461" s="36">
        <f>E461*D461</f>
        <v>43988236.649999999</v>
      </c>
    </row>
    <row r="462" spans="1:13" x14ac:dyDescent="0.3">
      <c r="A462" s="1" t="s">
        <v>135</v>
      </c>
      <c r="B462" s="65" t="s">
        <v>104</v>
      </c>
      <c r="C462" s="18" t="s">
        <v>89</v>
      </c>
      <c r="D462" s="19">
        <v>5.49</v>
      </c>
      <c r="E462" s="36">
        <f>'NHÂN CÔNG'!G7</f>
        <v>256500</v>
      </c>
      <c r="F462" s="36">
        <f t="shared" ref="F462:F471" si="69">E462*D462</f>
        <v>1408185</v>
      </c>
    </row>
    <row r="463" spans="1:13" ht="39" x14ac:dyDescent="0.3">
      <c r="A463" s="1" t="s">
        <v>142</v>
      </c>
      <c r="B463" s="95" t="s">
        <v>91</v>
      </c>
      <c r="C463" s="24"/>
      <c r="D463" s="26"/>
      <c r="E463" s="37"/>
      <c r="F463" s="36">
        <f>F464+F465</f>
        <v>6809463.2474999996</v>
      </c>
    </row>
    <row r="464" spans="1:13" x14ac:dyDescent="0.3">
      <c r="A464" s="1" t="s">
        <v>135</v>
      </c>
      <c r="B464" s="65" t="s">
        <v>103</v>
      </c>
      <c r="C464" s="18" t="s">
        <v>89</v>
      </c>
      <c r="D464" s="19">
        <f>D461*15%</f>
        <v>28.903499999999998</v>
      </c>
      <c r="E464" s="36">
        <f>E461</f>
        <v>228285</v>
      </c>
      <c r="F464" s="36">
        <f t="shared" si="69"/>
        <v>6598235.4974999996</v>
      </c>
    </row>
    <row r="465" spans="1:6" x14ac:dyDescent="0.3">
      <c r="A465" s="1" t="s">
        <v>135</v>
      </c>
      <c r="B465" s="65" t="s">
        <v>104</v>
      </c>
      <c r="C465" s="18" t="s">
        <v>89</v>
      </c>
      <c r="D465" s="19">
        <f>D462*15%</f>
        <v>0.82350000000000001</v>
      </c>
      <c r="E465" s="36">
        <f>E462</f>
        <v>256500</v>
      </c>
      <c r="F465" s="36">
        <f t="shared" si="69"/>
        <v>211227.75</v>
      </c>
    </row>
    <row r="466" spans="1:6" x14ac:dyDescent="0.3">
      <c r="A466" s="1">
        <v>2</v>
      </c>
      <c r="B466" s="33" t="s">
        <v>47</v>
      </c>
      <c r="C466" s="24"/>
      <c r="D466" s="26"/>
      <c r="E466" s="37"/>
      <c r="F466" s="37">
        <f>F467+F468</f>
        <v>2378320</v>
      </c>
    </row>
    <row r="467" spans="1:6" x14ac:dyDescent="0.3">
      <c r="A467" s="1" t="s">
        <v>135</v>
      </c>
      <c r="B467" s="65" t="s">
        <v>6</v>
      </c>
      <c r="C467" s="18" t="s">
        <v>92</v>
      </c>
      <c r="D467" s="19">
        <v>198.18</v>
      </c>
      <c r="E467" s="36">
        <f>'THIẾT BỊ'!F7</f>
        <v>12000</v>
      </c>
      <c r="F467" s="36">
        <f t="shared" si="69"/>
        <v>2378160</v>
      </c>
    </row>
    <row r="468" spans="1:6" x14ac:dyDescent="0.3">
      <c r="A468" s="1" t="s">
        <v>135</v>
      </c>
      <c r="B468" s="65" t="s">
        <v>7</v>
      </c>
      <c r="C468" s="18" t="s">
        <v>92</v>
      </c>
      <c r="D468" s="19">
        <v>0.02</v>
      </c>
      <c r="E468" s="36">
        <f>'THIẾT BỊ'!F8</f>
        <v>8000</v>
      </c>
      <c r="F468" s="36">
        <f t="shared" si="69"/>
        <v>160</v>
      </c>
    </row>
    <row r="469" spans="1:6" x14ac:dyDescent="0.3">
      <c r="A469" s="1">
        <v>3</v>
      </c>
      <c r="B469" s="33" t="s">
        <v>48</v>
      </c>
      <c r="C469" s="24"/>
      <c r="D469" s="26"/>
      <c r="E469" s="37"/>
      <c r="F469" s="37">
        <f>F470+F471</f>
        <v>35100</v>
      </c>
    </row>
    <row r="470" spans="1:6" x14ac:dyDescent="0.3">
      <c r="A470" s="1" t="s">
        <v>135</v>
      </c>
      <c r="B470" s="65" t="s">
        <v>93</v>
      </c>
      <c r="C470" s="18" t="s">
        <v>15</v>
      </c>
      <c r="D470" s="19">
        <v>0.09</v>
      </c>
      <c r="E470" s="36">
        <f>'VẬT LIỆU'!D5</f>
        <v>90000</v>
      </c>
      <c r="F470" s="36">
        <f t="shared" si="69"/>
        <v>8100</v>
      </c>
    </row>
    <row r="471" spans="1:6" x14ac:dyDescent="0.3">
      <c r="A471" s="1" t="s">
        <v>135</v>
      </c>
      <c r="B471" s="65" t="s">
        <v>10</v>
      </c>
      <c r="C471" s="18" t="s">
        <v>16</v>
      </c>
      <c r="D471" s="19">
        <v>0.03</v>
      </c>
      <c r="E471" s="36">
        <f>'VẬT LIỆU'!D6</f>
        <v>900000</v>
      </c>
      <c r="F471" s="36">
        <f t="shared" si="69"/>
        <v>27000</v>
      </c>
    </row>
    <row r="472" spans="1:6" x14ac:dyDescent="0.3">
      <c r="A472" s="1" t="s">
        <v>39</v>
      </c>
      <c r="B472" s="33" t="s">
        <v>11</v>
      </c>
      <c r="C472" s="34" t="s">
        <v>12</v>
      </c>
      <c r="D472" s="35">
        <v>15</v>
      </c>
      <c r="E472" s="36"/>
      <c r="F472" s="37">
        <f>F458*$D$472%</f>
        <v>8192895.7346249996</v>
      </c>
    </row>
    <row r="473" spans="1:6" x14ac:dyDescent="0.3">
      <c r="A473" s="1"/>
      <c r="B473" s="49" t="s">
        <v>85</v>
      </c>
      <c r="C473" s="38"/>
      <c r="D473" s="33"/>
      <c r="E473" s="37"/>
      <c r="F473" s="37">
        <f>F458+F472</f>
        <v>62812200.632124998</v>
      </c>
    </row>
    <row r="474" spans="1:6" x14ac:dyDescent="0.3">
      <c r="A474" s="28"/>
      <c r="B474" s="30"/>
      <c r="C474" s="30"/>
      <c r="D474" s="30"/>
      <c r="E474" s="31"/>
      <c r="F474" s="31"/>
    </row>
    <row r="475" spans="1:6" x14ac:dyDescent="0.3">
      <c r="A475" s="28">
        <v>2</v>
      </c>
      <c r="B475" s="64" t="s">
        <v>171</v>
      </c>
      <c r="C475" s="30"/>
      <c r="D475" s="30"/>
      <c r="E475" s="31"/>
      <c r="F475" s="31"/>
    </row>
    <row r="476" spans="1:6" ht="19.5" x14ac:dyDescent="0.3">
      <c r="A476" s="28"/>
      <c r="B476" s="63" t="s">
        <v>105</v>
      </c>
      <c r="C476" s="30"/>
      <c r="D476" s="30"/>
      <c r="E476" s="31"/>
      <c r="F476" s="31"/>
    </row>
    <row r="477" spans="1:6" x14ac:dyDescent="0.3">
      <c r="A477" s="28"/>
      <c r="B477" s="70"/>
      <c r="C477" s="30"/>
      <c r="D477" s="30"/>
      <c r="E477" s="31"/>
      <c r="F477" s="31"/>
    </row>
    <row r="478" spans="1:6" ht="37.5" x14ac:dyDescent="0.3">
      <c r="A478" s="1"/>
      <c r="B478" s="24" t="s">
        <v>1</v>
      </c>
      <c r="C478" s="24" t="s">
        <v>72</v>
      </c>
      <c r="D478" s="24" t="s">
        <v>3</v>
      </c>
      <c r="E478" s="32" t="s">
        <v>36</v>
      </c>
      <c r="F478" s="32" t="s">
        <v>27</v>
      </c>
    </row>
    <row r="479" spans="1:6" x14ac:dyDescent="0.3">
      <c r="A479" s="1" t="s">
        <v>38</v>
      </c>
      <c r="B479" s="33" t="s">
        <v>4</v>
      </c>
      <c r="C479" s="34"/>
      <c r="D479" s="35"/>
      <c r="E479" s="36"/>
      <c r="F479" s="37">
        <f>F480+F487+F490</f>
        <v>24436214.922500003</v>
      </c>
    </row>
    <row r="480" spans="1:6" x14ac:dyDescent="0.3">
      <c r="A480" s="1">
        <v>1</v>
      </c>
      <c r="B480" s="33" t="s">
        <v>46</v>
      </c>
      <c r="C480" s="24"/>
      <c r="D480" s="24"/>
      <c r="E480" s="37"/>
      <c r="F480" s="37">
        <f>F481+F484</f>
        <v>23357034.922500003</v>
      </c>
    </row>
    <row r="481" spans="1:6" ht="19.5" x14ac:dyDescent="0.35">
      <c r="A481" s="103" t="s">
        <v>141</v>
      </c>
      <c r="B481" s="95" t="s">
        <v>87</v>
      </c>
      <c r="C481" s="25"/>
      <c r="D481" s="25"/>
      <c r="E481" s="102"/>
      <c r="F481" s="36">
        <f>F482+F483</f>
        <v>20310465.150000002</v>
      </c>
    </row>
    <row r="482" spans="1:6" x14ac:dyDescent="0.3">
      <c r="A482" s="1"/>
      <c r="B482" s="65" t="s">
        <v>103</v>
      </c>
      <c r="C482" s="18" t="s">
        <v>89</v>
      </c>
      <c r="D482" s="19">
        <v>88.79</v>
      </c>
      <c r="E482" s="36">
        <f>'NHÂN CÔNG'!G6</f>
        <v>228285</v>
      </c>
      <c r="F482" s="36">
        <f>E482*D482</f>
        <v>20269425.150000002</v>
      </c>
    </row>
    <row r="483" spans="1:6" x14ac:dyDescent="0.3">
      <c r="A483" s="1"/>
      <c r="B483" s="65" t="s">
        <v>104</v>
      </c>
      <c r="C483" s="18" t="s">
        <v>89</v>
      </c>
      <c r="D483" s="19">
        <v>0.16</v>
      </c>
      <c r="E483" s="36">
        <f>'NHÂN CÔNG'!G7</f>
        <v>256500</v>
      </c>
      <c r="F483" s="36">
        <f t="shared" ref="F483:F492" si="70">E483*D483</f>
        <v>41040</v>
      </c>
    </row>
    <row r="484" spans="1:6" ht="39" x14ac:dyDescent="0.35">
      <c r="A484" s="103" t="s">
        <v>142</v>
      </c>
      <c r="B484" s="95" t="s">
        <v>91</v>
      </c>
      <c r="C484" s="25"/>
      <c r="D484" s="104"/>
      <c r="E484" s="102"/>
      <c r="F484" s="36">
        <f>F485+F486</f>
        <v>3046569.7725</v>
      </c>
    </row>
    <row r="485" spans="1:6" x14ac:dyDescent="0.3">
      <c r="A485" s="1"/>
      <c r="B485" s="65" t="s">
        <v>103</v>
      </c>
      <c r="C485" s="18" t="s">
        <v>89</v>
      </c>
      <c r="D485" s="19">
        <f>D482*15%</f>
        <v>13.3185</v>
      </c>
      <c r="E485" s="36">
        <f>E482</f>
        <v>228285</v>
      </c>
      <c r="F485" s="36">
        <f t="shared" si="70"/>
        <v>3040413.7725</v>
      </c>
    </row>
    <row r="486" spans="1:6" x14ac:dyDescent="0.3">
      <c r="A486" s="1"/>
      <c r="B486" s="65" t="s">
        <v>104</v>
      </c>
      <c r="C486" s="18" t="s">
        <v>89</v>
      </c>
      <c r="D486" s="19">
        <f>D483*15%</f>
        <v>2.4E-2</v>
      </c>
      <c r="E486" s="36">
        <f>E483</f>
        <v>256500</v>
      </c>
      <c r="F486" s="36">
        <f t="shared" si="70"/>
        <v>6156</v>
      </c>
    </row>
    <row r="487" spans="1:6" x14ac:dyDescent="0.3">
      <c r="A487" s="1">
        <v>2</v>
      </c>
      <c r="B487" s="33" t="s">
        <v>47</v>
      </c>
      <c r="C487" s="24"/>
      <c r="D487" s="26"/>
      <c r="E487" s="37"/>
      <c r="F487" s="37">
        <f>F488+F489</f>
        <v>1067480</v>
      </c>
    </row>
    <row r="488" spans="1:6" x14ac:dyDescent="0.3">
      <c r="A488" s="1"/>
      <c r="B488" s="65" t="s">
        <v>6</v>
      </c>
      <c r="C488" s="18" t="s">
        <v>92</v>
      </c>
      <c r="D488" s="19">
        <v>88.95</v>
      </c>
      <c r="E488" s="36">
        <f>'THIẾT BỊ'!F7</f>
        <v>12000</v>
      </c>
      <c r="F488" s="36">
        <f t="shared" si="70"/>
        <v>1067400</v>
      </c>
    </row>
    <row r="489" spans="1:6" x14ac:dyDescent="0.3">
      <c r="A489" s="1"/>
      <c r="B489" s="65" t="s">
        <v>7</v>
      </c>
      <c r="C489" s="18" t="s">
        <v>92</v>
      </c>
      <c r="D489" s="19">
        <v>0.01</v>
      </c>
      <c r="E489" s="36">
        <f>'THIẾT BỊ'!F8</f>
        <v>8000</v>
      </c>
      <c r="F489" s="36">
        <f t="shared" si="70"/>
        <v>80</v>
      </c>
    </row>
    <row r="490" spans="1:6" x14ac:dyDescent="0.3">
      <c r="A490" s="1">
        <v>3</v>
      </c>
      <c r="B490" s="33" t="s">
        <v>48</v>
      </c>
      <c r="C490" s="24"/>
      <c r="D490" s="26"/>
      <c r="E490" s="37"/>
      <c r="F490" s="37">
        <f>F491+F492</f>
        <v>11700</v>
      </c>
    </row>
    <row r="491" spans="1:6" x14ac:dyDescent="0.3">
      <c r="A491" s="1"/>
      <c r="B491" s="65" t="s">
        <v>93</v>
      </c>
      <c r="C491" s="18" t="s">
        <v>15</v>
      </c>
      <c r="D491" s="19">
        <v>0.03</v>
      </c>
      <c r="E491" s="36">
        <f>'VẬT LIỆU'!D5</f>
        <v>90000</v>
      </c>
      <c r="F491" s="36">
        <f t="shared" si="70"/>
        <v>2700</v>
      </c>
    </row>
    <row r="492" spans="1:6" x14ac:dyDescent="0.3">
      <c r="A492" s="1"/>
      <c r="B492" s="65" t="s">
        <v>10</v>
      </c>
      <c r="C492" s="18" t="s">
        <v>16</v>
      </c>
      <c r="D492" s="19">
        <v>0.01</v>
      </c>
      <c r="E492" s="36">
        <f>'VẬT LIỆU'!D6</f>
        <v>900000</v>
      </c>
      <c r="F492" s="36">
        <f t="shared" si="70"/>
        <v>9000</v>
      </c>
    </row>
    <row r="493" spans="1:6" x14ac:dyDescent="0.3">
      <c r="A493" s="1" t="s">
        <v>39</v>
      </c>
      <c r="B493" s="33" t="s">
        <v>11</v>
      </c>
      <c r="C493" s="34" t="s">
        <v>12</v>
      </c>
      <c r="D493" s="35">
        <v>15</v>
      </c>
      <c r="E493" s="36"/>
      <c r="F493" s="37">
        <f>F479*D493%</f>
        <v>3665432.2383750002</v>
      </c>
    </row>
    <row r="494" spans="1:6" x14ac:dyDescent="0.3">
      <c r="A494" s="1"/>
      <c r="B494" s="49" t="s">
        <v>85</v>
      </c>
      <c r="C494" s="38"/>
      <c r="D494" s="33"/>
      <c r="E494" s="37"/>
      <c r="F494" s="37">
        <f>F479+F493</f>
        <v>28101647.160875004</v>
      </c>
    </row>
    <row r="495" spans="1:6" x14ac:dyDescent="0.3">
      <c r="A495" s="28"/>
      <c r="B495" s="30"/>
      <c r="C495" s="30"/>
      <c r="D495" s="30"/>
      <c r="E495" s="31"/>
      <c r="F495" s="31"/>
    </row>
    <row r="496" spans="1:6" x14ac:dyDescent="0.3">
      <c r="A496" s="28">
        <v>3</v>
      </c>
      <c r="B496" s="64" t="s">
        <v>172</v>
      </c>
      <c r="C496" s="30"/>
      <c r="D496" s="30"/>
      <c r="E496" s="31"/>
      <c r="F496" s="31"/>
    </row>
    <row r="497" spans="1:6" ht="19.5" x14ac:dyDescent="0.3">
      <c r="A497" s="28"/>
      <c r="B497" s="63" t="s">
        <v>106</v>
      </c>
      <c r="C497" s="30"/>
      <c r="D497" s="30"/>
      <c r="E497" s="31"/>
      <c r="F497" s="31"/>
    </row>
    <row r="498" spans="1:6" x14ac:dyDescent="0.3">
      <c r="A498" s="28"/>
      <c r="B498" s="30"/>
      <c r="C498" s="30"/>
      <c r="D498" s="30"/>
      <c r="E498" s="31"/>
      <c r="F498" s="31"/>
    </row>
    <row r="499" spans="1:6" ht="37.5" x14ac:dyDescent="0.3">
      <c r="A499" s="1"/>
      <c r="B499" s="24" t="s">
        <v>1</v>
      </c>
      <c r="C499" s="24" t="s">
        <v>72</v>
      </c>
      <c r="D499" s="24" t="s">
        <v>3</v>
      </c>
      <c r="E499" s="32" t="s">
        <v>36</v>
      </c>
      <c r="F499" s="32" t="s">
        <v>27</v>
      </c>
    </row>
    <row r="500" spans="1:6" x14ac:dyDescent="0.3">
      <c r="A500" s="1" t="s">
        <v>38</v>
      </c>
      <c r="B500" s="33" t="s">
        <v>4</v>
      </c>
      <c r="C500" s="34"/>
      <c r="D500" s="35"/>
      <c r="E500" s="36"/>
      <c r="F500" s="37">
        <f>F501+F508+F511</f>
        <v>38876772.357500002</v>
      </c>
    </row>
    <row r="501" spans="1:6" x14ac:dyDescent="0.3">
      <c r="A501" s="1">
        <v>1</v>
      </c>
      <c r="B501" s="33" t="s">
        <v>46</v>
      </c>
      <c r="C501" s="24"/>
      <c r="D501" s="24"/>
      <c r="E501" s="37"/>
      <c r="F501" s="37">
        <f>F502+F505</f>
        <v>37156732.357500002</v>
      </c>
    </row>
    <row r="502" spans="1:6" ht="19.5" x14ac:dyDescent="0.35">
      <c r="A502" s="103" t="s">
        <v>141</v>
      </c>
      <c r="B502" s="95" t="s">
        <v>87</v>
      </c>
      <c r="C502" s="25"/>
      <c r="D502" s="25"/>
      <c r="E502" s="102"/>
      <c r="F502" s="36">
        <f>F503+F504</f>
        <v>32310202.050000001</v>
      </c>
    </row>
    <row r="503" spans="1:6" x14ac:dyDescent="0.3">
      <c r="A503" s="1" t="s">
        <v>135</v>
      </c>
      <c r="B503" s="65" t="s">
        <v>103</v>
      </c>
      <c r="C503" s="18" t="s">
        <v>89</v>
      </c>
      <c r="D503" s="19">
        <v>140.13</v>
      </c>
      <c r="E503" s="36">
        <f>'NHÂN CÔNG'!G6</f>
        <v>228285</v>
      </c>
      <c r="F503" s="36">
        <f>E503*D503</f>
        <v>31989577.050000001</v>
      </c>
    </row>
    <row r="504" spans="1:6" x14ac:dyDescent="0.3">
      <c r="A504" s="1" t="s">
        <v>135</v>
      </c>
      <c r="B504" s="65" t="s">
        <v>104</v>
      </c>
      <c r="C504" s="18" t="s">
        <v>89</v>
      </c>
      <c r="D504" s="19">
        <v>1.25</v>
      </c>
      <c r="E504" s="36">
        <f>'NHÂN CÔNG'!G7</f>
        <v>256500</v>
      </c>
      <c r="F504" s="36">
        <f t="shared" ref="F504:F513" si="71">E504*D504</f>
        <v>320625</v>
      </c>
    </row>
    <row r="505" spans="1:6" ht="39" x14ac:dyDescent="0.35">
      <c r="A505" s="103" t="s">
        <v>142</v>
      </c>
      <c r="B505" s="95" t="s">
        <v>91</v>
      </c>
      <c r="C505" s="25"/>
      <c r="D505" s="104"/>
      <c r="E505" s="102"/>
      <c r="F505" s="36">
        <f>F506+F507</f>
        <v>4846530.3074999992</v>
      </c>
    </row>
    <row r="506" spans="1:6" x14ac:dyDescent="0.3">
      <c r="A506" s="1" t="s">
        <v>135</v>
      </c>
      <c r="B506" s="65" t="s">
        <v>103</v>
      </c>
      <c r="C506" s="18" t="s">
        <v>89</v>
      </c>
      <c r="D506" s="19">
        <f>D503*15%</f>
        <v>21.019499999999997</v>
      </c>
      <c r="E506" s="36">
        <f>E503</f>
        <v>228285</v>
      </c>
      <c r="F506" s="36">
        <f t="shared" si="71"/>
        <v>4798436.5574999992</v>
      </c>
    </row>
    <row r="507" spans="1:6" x14ac:dyDescent="0.3">
      <c r="A507" s="1" t="s">
        <v>135</v>
      </c>
      <c r="B507" s="65" t="s">
        <v>104</v>
      </c>
      <c r="C507" s="18" t="s">
        <v>89</v>
      </c>
      <c r="D507" s="19">
        <f>D504*15%</f>
        <v>0.1875</v>
      </c>
      <c r="E507" s="36">
        <f>E504</f>
        <v>256500</v>
      </c>
      <c r="F507" s="36">
        <f t="shared" si="71"/>
        <v>48093.75</v>
      </c>
    </row>
    <row r="508" spans="1:6" x14ac:dyDescent="0.3">
      <c r="A508" s="1">
        <v>2</v>
      </c>
      <c r="B508" s="33" t="s">
        <v>47</v>
      </c>
      <c r="C508" s="24"/>
      <c r="D508" s="26"/>
      <c r="E508" s="37"/>
      <c r="F508" s="37">
        <f>F509+F510</f>
        <v>1696640</v>
      </c>
    </row>
    <row r="509" spans="1:6" x14ac:dyDescent="0.3">
      <c r="A509" s="1" t="s">
        <v>135</v>
      </c>
      <c r="B509" s="65" t="s">
        <v>6</v>
      </c>
      <c r="C509" s="18" t="s">
        <v>92</v>
      </c>
      <c r="D509" s="19">
        <v>141.38</v>
      </c>
      <c r="E509" s="36">
        <f>'THIẾT BỊ'!F7</f>
        <v>12000</v>
      </c>
      <c r="F509" s="36">
        <f t="shared" si="71"/>
        <v>1696560</v>
      </c>
    </row>
    <row r="510" spans="1:6" x14ac:dyDescent="0.3">
      <c r="A510" s="1" t="s">
        <v>135</v>
      </c>
      <c r="B510" s="65" t="s">
        <v>7</v>
      </c>
      <c r="C510" s="18" t="s">
        <v>92</v>
      </c>
      <c r="D510" s="19">
        <v>0.01</v>
      </c>
      <c r="E510" s="36">
        <f>'THIẾT BỊ'!F8</f>
        <v>8000</v>
      </c>
      <c r="F510" s="36">
        <f t="shared" si="71"/>
        <v>80</v>
      </c>
    </row>
    <row r="511" spans="1:6" x14ac:dyDescent="0.3">
      <c r="A511" s="1">
        <v>3</v>
      </c>
      <c r="B511" s="33" t="s">
        <v>48</v>
      </c>
      <c r="C511" s="24"/>
      <c r="D511" s="26"/>
      <c r="E511" s="37"/>
      <c r="F511" s="37">
        <f>F512+F513</f>
        <v>23400</v>
      </c>
    </row>
    <row r="512" spans="1:6" x14ac:dyDescent="0.3">
      <c r="A512" s="1" t="s">
        <v>135</v>
      </c>
      <c r="B512" s="65" t="s">
        <v>93</v>
      </c>
      <c r="C512" s="18" t="s">
        <v>15</v>
      </c>
      <c r="D512" s="19">
        <v>0.06</v>
      </c>
      <c r="E512" s="36">
        <f>'VẬT LIỆU'!D5</f>
        <v>90000</v>
      </c>
      <c r="F512" s="36">
        <f t="shared" si="71"/>
        <v>5400</v>
      </c>
    </row>
    <row r="513" spans="1:6" x14ac:dyDescent="0.3">
      <c r="A513" s="1" t="s">
        <v>135</v>
      </c>
      <c r="B513" s="65" t="s">
        <v>10</v>
      </c>
      <c r="C513" s="18" t="s">
        <v>16</v>
      </c>
      <c r="D513" s="19">
        <v>0.02</v>
      </c>
      <c r="E513" s="36">
        <f>'VẬT LIỆU'!D6</f>
        <v>900000</v>
      </c>
      <c r="F513" s="36">
        <f t="shared" si="71"/>
        <v>18000</v>
      </c>
    </row>
    <row r="514" spans="1:6" x14ac:dyDescent="0.3">
      <c r="A514" s="1" t="s">
        <v>39</v>
      </c>
      <c r="B514" s="33" t="s">
        <v>11</v>
      </c>
      <c r="C514" s="34" t="s">
        <v>12</v>
      </c>
      <c r="D514" s="35">
        <v>15</v>
      </c>
      <c r="E514" s="36"/>
      <c r="F514" s="37">
        <f>F500*D514%</f>
        <v>5831515.8536250005</v>
      </c>
    </row>
    <row r="515" spans="1:6" x14ac:dyDescent="0.3">
      <c r="A515" s="1"/>
      <c r="B515" s="49" t="s">
        <v>85</v>
      </c>
      <c r="C515" s="38"/>
      <c r="D515" s="33"/>
      <c r="E515" s="37"/>
      <c r="F515" s="37">
        <f>F500+F514</f>
        <v>44708288.211125001</v>
      </c>
    </row>
    <row r="516" spans="1:6" x14ac:dyDescent="0.3">
      <c r="A516" s="28"/>
      <c r="B516" s="30"/>
      <c r="C516" s="30"/>
      <c r="D516" s="30"/>
      <c r="E516" s="31"/>
      <c r="F516" s="31"/>
    </row>
    <row r="517" spans="1:6" x14ac:dyDescent="0.3">
      <c r="A517" s="28">
        <v>4</v>
      </c>
      <c r="B517" s="64" t="s">
        <v>173</v>
      </c>
      <c r="C517" s="30"/>
      <c r="D517" s="30"/>
      <c r="E517" s="31"/>
      <c r="F517" s="31"/>
    </row>
    <row r="518" spans="1:6" ht="19.5" x14ac:dyDescent="0.3">
      <c r="A518" s="28"/>
      <c r="B518" s="63" t="s">
        <v>107</v>
      </c>
      <c r="C518" s="30"/>
      <c r="D518" s="30"/>
      <c r="E518" s="31"/>
      <c r="F518" s="31"/>
    </row>
    <row r="519" spans="1:6" x14ac:dyDescent="0.3">
      <c r="A519" s="28"/>
      <c r="B519" s="30"/>
      <c r="C519" s="30"/>
      <c r="D519" s="30"/>
      <c r="E519" s="31"/>
      <c r="F519" s="31"/>
    </row>
    <row r="520" spans="1:6" ht="37.5" x14ac:dyDescent="0.3">
      <c r="A520" s="1"/>
      <c r="B520" s="24" t="s">
        <v>1</v>
      </c>
      <c r="C520" s="24" t="s">
        <v>72</v>
      </c>
      <c r="D520" s="24" t="s">
        <v>3</v>
      </c>
      <c r="E520" s="32" t="s">
        <v>36</v>
      </c>
      <c r="F520" s="32" t="s">
        <v>27</v>
      </c>
    </row>
    <row r="521" spans="1:6" x14ac:dyDescent="0.3">
      <c r="A521" s="1" t="s">
        <v>38</v>
      </c>
      <c r="B521" s="33" t="s">
        <v>4</v>
      </c>
      <c r="C521" s="34"/>
      <c r="D521" s="35"/>
      <c r="E521" s="36"/>
      <c r="F521" s="37">
        <f>F522+F529+F532</f>
        <v>9666744.4024999999</v>
      </c>
    </row>
    <row r="522" spans="1:6" x14ac:dyDescent="0.3">
      <c r="A522" s="1">
        <v>1</v>
      </c>
      <c r="B522" s="33" t="s">
        <v>46</v>
      </c>
      <c r="C522" s="24"/>
      <c r="D522" s="24"/>
      <c r="E522" s="37"/>
      <c r="F522" s="37">
        <f>F523+F526</f>
        <v>9251566.4024999999</v>
      </c>
    </row>
    <row r="523" spans="1:6" ht="19.5" x14ac:dyDescent="0.35">
      <c r="A523" s="103" t="s">
        <v>141</v>
      </c>
      <c r="B523" s="95" t="s">
        <v>87</v>
      </c>
      <c r="C523" s="25"/>
      <c r="D523" s="25"/>
      <c r="E523" s="102"/>
      <c r="F523" s="36">
        <f>F524+F525</f>
        <v>8044840.3500000006</v>
      </c>
    </row>
    <row r="524" spans="1:6" x14ac:dyDescent="0.3">
      <c r="A524" s="1" t="s">
        <v>135</v>
      </c>
      <c r="B524" s="65" t="s">
        <v>103</v>
      </c>
      <c r="C524" s="18" t="s">
        <v>89</v>
      </c>
      <c r="D524" s="19">
        <v>28.51</v>
      </c>
      <c r="E524" s="36">
        <f>'NHÂN CÔNG'!G6</f>
        <v>228285</v>
      </c>
      <c r="F524" s="36">
        <f>E524*D524</f>
        <v>6508405.3500000006</v>
      </c>
    </row>
    <row r="525" spans="1:6" x14ac:dyDescent="0.3">
      <c r="A525" s="1" t="s">
        <v>135</v>
      </c>
      <c r="B525" s="65" t="s">
        <v>104</v>
      </c>
      <c r="C525" s="18" t="s">
        <v>89</v>
      </c>
      <c r="D525" s="19">
        <v>5.99</v>
      </c>
      <c r="E525" s="36">
        <f>'NHÂN CÔNG'!G7</f>
        <v>256500</v>
      </c>
      <c r="F525" s="36">
        <f t="shared" ref="F525:F534" si="72">E525*D525</f>
        <v>1536435</v>
      </c>
    </row>
    <row r="526" spans="1:6" ht="39" x14ac:dyDescent="0.35">
      <c r="A526" s="103" t="s">
        <v>142</v>
      </c>
      <c r="B526" s="95" t="s">
        <v>108</v>
      </c>
      <c r="C526" s="25"/>
      <c r="D526" s="104"/>
      <c r="E526" s="102"/>
      <c r="F526" s="36">
        <f>F527+F528</f>
        <v>1206726.0525000002</v>
      </c>
    </row>
    <row r="527" spans="1:6" x14ac:dyDescent="0.3">
      <c r="A527" s="1" t="s">
        <v>135</v>
      </c>
      <c r="B527" s="65" t="s">
        <v>103</v>
      </c>
      <c r="C527" s="18" t="s">
        <v>89</v>
      </c>
      <c r="D527" s="19">
        <f>D524*15%</f>
        <v>4.2765000000000004</v>
      </c>
      <c r="E527" s="36">
        <f>E524</f>
        <v>228285</v>
      </c>
      <c r="F527" s="36">
        <f t="shared" si="72"/>
        <v>976260.80250000011</v>
      </c>
    </row>
    <row r="528" spans="1:6" x14ac:dyDescent="0.3">
      <c r="A528" s="1" t="s">
        <v>135</v>
      </c>
      <c r="B528" s="65" t="s">
        <v>104</v>
      </c>
      <c r="C528" s="18" t="s">
        <v>89</v>
      </c>
      <c r="D528" s="19">
        <f>D525*15%</f>
        <v>0.89849999999999997</v>
      </c>
      <c r="E528" s="36">
        <f>E525</f>
        <v>256500</v>
      </c>
      <c r="F528" s="36">
        <f t="shared" si="72"/>
        <v>230465.25</v>
      </c>
    </row>
    <row r="529" spans="1:6" x14ac:dyDescent="0.3">
      <c r="A529" s="1">
        <v>2</v>
      </c>
      <c r="B529" s="33" t="s">
        <v>47</v>
      </c>
      <c r="C529" s="24"/>
      <c r="D529" s="26"/>
      <c r="E529" s="37"/>
      <c r="F529" s="37">
        <f>F530+F531</f>
        <v>414008</v>
      </c>
    </row>
    <row r="530" spans="1:6" x14ac:dyDescent="0.3">
      <c r="A530" s="1" t="s">
        <v>135</v>
      </c>
      <c r="B530" s="65" t="s">
        <v>6</v>
      </c>
      <c r="C530" s="18" t="s">
        <v>92</v>
      </c>
      <c r="D530" s="19">
        <v>34.5</v>
      </c>
      <c r="E530" s="36">
        <f>'THIẾT BỊ'!F7</f>
        <v>12000</v>
      </c>
      <c r="F530" s="36">
        <f t="shared" si="72"/>
        <v>414000</v>
      </c>
    </row>
    <row r="531" spans="1:6" x14ac:dyDescent="0.3">
      <c r="A531" s="1" t="s">
        <v>135</v>
      </c>
      <c r="B531" s="65" t="s">
        <v>7</v>
      </c>
      <c r="C531" s="18" t="s">
        <v>92</v>
      </c>
      <c r="D531" s="19">
        <v>1E-3</v>
      </c>
      <c r="E531" s="36">
        <f>'THIẾT BỊ'!F8</f>
        <v>8000</v>
      </c>
      <c r="F531" s="36">
        <f t="shared" si="72"/>
        <v>8</v>
      </c>
    </row>
    <row r="532" spans="1:6" x14ac:dyDescent="0.3">
      <c r="A532" s="1">
        <v>3</v>
      </c>
      <c r="B532" s="33" t="s">
        <v>48</v>
      </c>
      <c r="C532" s="24"/>
      <c r="D532" s="26"/>
      <c r="E532" s="37"/>
      <c r="F532" s="37">
        <f>F533+F534</f>
        <v>1170</v>
      </c>
    </row>
    <row r="533" spans="1:6" x14ac:dyDescent="0.3">
      <c r="A533" s="1" t="s">
        <v>135</v>
      </c>
      <c r="B533" s="65" t="s">
        <v>93</v>
      </c>
      <c r="C533" s="18" t="s">
        <v>15</v>
      </c>
      <c r="D533" s="19">
        <v>3.0000000000000001E-3</v>
      </c>
      <c r="E533" s="36">
        <f>'VẬT LIỆU'!D5</f>
        <v>90000</v>
      </c>
      <c r="F533" s="36">
        <f t="shared" si="72"/>
        <v>270</v>
      </c>
    </row>
    <row r="534" spans="1:6" x14ac:dyDescent="0.3">
      <c r="A534" s="1" t="s">
        <v>135</v>
      </c>
      <c r="B534" s="65" t="s">
        <v>10</v>
      </c>
      <c r="C534" s="18" t="s">
        <v>16</v>
      </c>
      <c r="D534" s="19">
        <v>1E-3</v>
      </c>
      <c r="E534" s="36">
        <f>'VẬT LIỆU'!D6</f>
        <v>900000</v>
      </c>
      <c r="F534" s="36">
        <f t="shared" si="72"/>
        <v>900</v>
      </c>
    </row>
    <row r="535" spans="1:6" x14ac:dyDescent="0.3">
      <c r="A535" s="1" t="s">
        <v>39</v>
      </c>
      <c r="B535" s="33" t="s">
        <v>11</v>
      </c>
      <c r="C535" s="34" t="s">
        <v>12</v>
      </c>
      <c r="D535" s="35">
        <v>15</v>
      </c>
      <c r="E535" s="36"/>
      <c r="F535" s="37">
        <f>F521*D535%</f>
        <v>1450011.660375</v>
      </c>
    </row>
    <row r="536" spans="1:6" x14ac:dyDescent="0.3">
      <c r="A536" s="1"/>
      <c r="B536" s="49" t="s">
        <v>85</v>
      </c>
      <c r="C536" s="38"/>
      <c r="D536" s="33"/>
      <c r="E536" s="37"/>
      <c r="F536" s="37">
        <f>F521+F535</f>
        <v>11116756.062874999</v>
      </c>
    </row>
    <row r="537" spans="1:6" x14ac:dyDescent="0.3">
      <c r="A537" s="28"/>
      <c r="B537" s="30"/>
      <c r="C537" s="30"/>
      <c r="D537" s="30"/>
      <c r="E537" s="31"/>
      <c r="F537" s="31"/>
    </row>
    <row r="538" spans="1:6" x14ac:dyDescent="0.3">
      <c r="A538" s="28">
        <v>5</v>
      </c>
      <c r="B538" s="20" t="s">
        <v>174</v>
      </c>
      <c r="C538" s="30"/>
      <c r="D538" s="30"/>
      <c r="E538" s="31"/>
      <c r="F538" s="31"/>
    </row>
    <row r="539" spans="1:6" ht="19.5" x14ac:dyDescent="0.3">
      <c r="A539" s="28"/>
      <c r="B539" s="63" t="s">
        <v>109</v>
      </c>
      <c r="C539" s="30"/>
      <c r="D539" s="30"/>
      <c r="E539" s="31"/>
      <c r="F539" s="31"/>
    </row>
    <row r="540" spans="1:6" x14ac:dyDescent="0.3">
      <c r="A540" s="28"/>
      <c r="B540" s="30"/>
      <c r="C540" s="30"/>
      <c r="D540" s="30"/>
      <c r="E540" s="31"/>
      <c r="F540" s="31"/>
    </row>
    <row r="541" spans="1:6" ht="37.5" x14ac:dyDescent="0.3">
      <c r="A541" s="1"/>
      <c r="B541" s="24" t="s">
        <v>1</v>
      </c>
      <c r="C541" s="24" t="s">
        <v>72</v>
      </c>
      <c r="D541" s="24" t="s">
        <v>3</v>
      </c>
      <c r="E541" s="32" t="s">
        <v>36</v>
      </c>
      <c r="F541" s="32" t="s">
        <v>27</v>
      </c>
    </row>
    <row r="542" spans="1:6" x14ac:dyDescent="0.3">
      <c r="A542" s="1" t="s">
        <v>38</v>
      </c>
      <c r="B542" s="33" t="s">
        <v>4</v>
      </c>
      <c r="C542" s="34"/>
      <c r="D542" s="35"/>
      <c r="E542" s="36"/>
      <c r="F542" s="37">
        <f>F543+F548+F551</f>
        <v>226860.75499999998</v>
      </c>
    </row>
    <row r="543" spans="1:6" x14ac:dyDescent="0.3">
      <c r="A543" s="1">
        <v>1</v>
      </c>
      <c r="B543" s="33" t="s">
        <v>46</v>
      </c>
      <c r="C543" s="24"/>
      <c r="D543" s="24"/>
      <c r="E543" s="37"/>
      <c r="F543" s="37">
        <f>F544+F546</f>
        <v>215272.75499999998</v>
      </c>
    </row>
    <row r="544" spans="1:6" ht="19.5" x14ac:dyDescent="0.35">
      <c r="A544" s="103" t="s">
        <v>141</v>
      </c>
      <c r="B544" s="95" t="s">
        <v>87</v>
      </c>
      <c r="C544" s="25"/>
      <c r="D544" s="25"/>
      <c r="E544" s="102"/>
      <c r="F544" s="36">
        <f>F545</f>
        <v>187193.69999999998</v>
      </c>
    </row>
    <row r="545" spans="1:6" x14ac:dyDescent="0.3">
      <c r="A545" s="1" t="s">
        <v>135</v>
      </c>
      <c r="B545" s="65" t="s">
        <v>103</v>
      </c>
      <c r="C545" s="18" t="s">
        <v>89</v>
      </c>
      <c r="D545" s="19">
        <v>0.82</v>
      </c>
      <c r="E545" s="36">
        <f>'NHÂN CÔNG'!G6</f>
        <v>228285</v>
      </c>
      <c r="F545" s="36">
        <f>E545*D545</f>
        <v>187193.69999999998</v>
      </c>
    </row>
    <row r="546" spans="1:6" ht="39" x14ac:dyDescent="0.35">
      <c r="A546" s="103" t="s">
        <v>142</v>
      </c>
      <c r="B546" s="95" t="s">
        <v>91</v>
      </c>
      <c r="C546" s="25"/>
      <c r="D546" s="104"/>
      <c r="E546" s="102"/>
      <c r="F546" s="36">
        <f>F547</f>
        <v>28079.054999999997</v>
      </c>
    </row>
    <row r="547" spans="1:6" x14ac:dyDescent="0.3">
      <c r="A547" s="1" t="s">
        <v>135</v>
      </c>
      <c r="B547" s="65" t="s">
        <v>103</v>
      </c>
      <c r="C547" s="18" t="s">
        <v>89</v>
      </c>
      <c r="D547" s="19">
        <f>D545*15%</f>
        <v>0.12299999999999998</v>
      </c>
      <c r="E547" s="36">
        <f>E545</f>
        <v>228285</v>
      </c>
      <c r="F547" s="36">
        <f t="shared" ref="F547:F553" si="73">E547*D547</f>
        <v>28079.054999999997</v>
      </c>
    </row>
    <row r="548" spans="1:6" x14ac:dyDescent="0.3">
      <c r="A548" s="1">
        <v>2</v>
      </c>
      <c r="B548" s="33" t="s">
        <v>47</v>
      </c>
      <c r="C548" s="24"/>
      <c r="D548" s="26"/>
      <c r="E548" s="37"/>
      <c r="F548" s="37">
        <f>F549+F550</f>
        <v>9248</v>
      </c>
    </row>
    <row r="549" spans="1:6" x14ac:dyDescent="0.3">
      <c r="A549" s="1" t="s">
        <v>135</v>
      </c>
      <c r="B549" s="65" t="s">
        <v>6</v>
      </c>
      <c r="C549" s="18" t="s">
        <v>92</v>
      </c>
      <c r="D549" s="19">
        <v>0.77</v>
      </c>
      <c r="E549" s="36">
        <f>'THIẾT BỊ'!F7</f>
        <v>12000</v>
      </c>
      <c r="F549" s="36">
        <f t="shared" si="73"/>
        <v>9240</v>
      </c>
    </row>
    <row r="550" spans="1:6" x14ac:dyDescent="0.3">
      <c r="A550" s="1" t="s">
        <v>135</v>
      </c>
      <c r="B550" s="65" t="s">
        <v>7</v>
      </c>
      <c r="C550" s="18" t="s">
        <v>92</v>
      </c>
      <c r="D550" s="19">
        <v>1E-3</v>
      </c>
      <c r="E550" s="36">
        <f>'THIẾT BỊ'!F8</f>
        <v>8000</v>
      </c>
      <c r="F550" s="36">
        <f t="shared" si="73"/>
        <v>8</v>
      </c>
    </row>
    <row r="551" spans="1:6" x14ac:dyDescent="0.3">
      <c r="A551" s="1">
        <v>3</v>
      </c>
      <c r="B551" s="33" t="s">
        <v>48</v>
      </c>
      <c r="C551" s="24"/>
      <c r="D551" s="26"/>
      <c r="E551" s="37"/>
      <c r="F551" s="37">
        <f>F552+F553</f>
        <v>2340</v>
      </c>
    </row>
    <row r="552" spans="1:6" x14ac:dyDescent="0.3">
      <c r="A552" s="1" t="s">
        <v>135</v>
      </c>
      <c r="B552" s="65" t="s">
        <v>93</v>
      </c>
      <c r="C552" s="18" t="s">
        <v>15</v>
      </c>
      <c r="D552" s="19">
        <v>6.0000000000000001E-3</v>
      </c>
      <c r="E552" s="36">
        <f>'VẬT LIỆU'!D5</f>
        <v>90000</v>
      </c>
      <c r="F552" s="36">
        <f t="shared" si="73"/>
        <v>540</v>
      </c>
    </row>
    <row r="553" spans="1:6" x14ac:dyDescent="0.3">
      <c r="A553" s="1" t="s">
        <v>135</v>
      </c>
      <c r="B553" s="65" t="s">
        <v>10</v>
      </c>
      <c r="C553" s="18" t="s">
        <v>16</v>
      </c>
      <c r="D553" s="19">
        <v>2E-3</v>
      </c>
      <c r="E553" s="36">
        <f>'VẬT LIỆU'!D6</f>
        <v>900000</v>
      </c>
      <c r="F553" s="36">
        <f t="shared" si="73"/>
        <v>1800</v>
      </c>
    </row>
    <row r="554" spans="1:6" x14ac:dyDescent="0.3">
      <c r="A554" s="1" t="s">
        <v>39</v>
      </c>
      <c r="B554" s="33" t="s">
        <v>11</v>
      </c>
      <c r="C554" s="34" t="s">
        <v>12</v>
      </c>
      <c r="D554" s="35">
        <v>15</v>
      </c>
      <c r="E554" s="36"/>
      <c r="F554" s="37">
        <f>F542*D554%</f>
        <v>34029.113249999995</v>
      </c>
    </row>
    <row r="555" spans="1:6" x14ac:dyDescent="0.3">
      <c r="A555" s="1"/>
      <c r="B555" s="49" t="s">
        <v>85</v>
      </c>
      <c r="C555" s="38"/>
      <c r="D555" s="33"/>
      <c r="E555" s="37"/>
      <c r="F555" s="37">
        <f>F542+F554</f>
        <v>260889.86824999997</v>
      </c>
    </row>
    <row r="556" spans="1:6" x14ac:dyDescent="0.3">
      <c r="A556" s="28"/>
      <c r="B556" s="23"/>
      <c r="C556" s="30"/>
      <c r="D556" s="30"/>
      <c r="E556" s="31"/>
      <c r="F556" s="31"/>
    </row>
    <row r="557" spans="1:6" x14ac:dyDescent="0.3">
      <c r="A557" s="28">
        <v>5</v>
      </c>
      <c r="B557" s="20" t="s">
        <v>175</v>
      </c>
      <c r="C557" s="30"/>
      <c r="D557" s="30"/>
      <c r="E557" s="31"/>
      <c r="F557" s="31"/>
    </row>
    <row r="558" spans="1:6" ht="19.5" x14ac:dyDescent="0.3">
      <c r="A558" s="28"/>
      <c r="B558" s="63" t="s">
        <v>110</v>
      </c>
      <c r="C558" s="30"/>
      <c r="D558" s="30"/>
      <c r="E558" s="31"/>
      <c r="F558" s="31"/>
    </row>
    <row r="559" spans="1:6" ht="21" customHeight="1" x14ac:dyDescent="0.3">
      <c r="A559" s="28"/>
      <c r="B559" s="159" t="s">
        <v>240</v>
      </c>
      <c r="C559" s="159"/>
      <c r="D559" s="159"/>
      <c r="E559" s="159"/>
      <c r="F559" s="159"/>
    </row>
    <row r="560" spans="1:6" ht="35.65" customHeight="1" x14ac:dyDescent="0.3">
      <c r="A560" s="28"/>
      <c r="B560" s="159" t="s">
        <v>241</v>
      </c>
      <c r="C560" s="159"/>
      <c r="D560" s="159"/>
      <c r="E560" s="159"/>
      <c r="F560" s="159"/>
    </row>
    <row r="561" spans="1:12" x14ac:dyDescent="0.3">
      <c r="A561" s="28"/>
      <c r="B561" s="70"/>
      <c r="C561" s="30"/>
      <c r="D561" s="30"/>
      <c r="E561" s="31"/>
      <c r="F561" s="31"/>
      <c r="H561" s="30" t="s">
        <v>154</v>
      </c>
    </row>
    <row r="562" spans="1:12" ht="37.5" x14ac:dyDescent="0.3">
      <c r="A562" s="1"/>
      <c r="B562" s="24" t="s">
        <v>1</v>
      </c>
      <c r="C562" s="24" t="s">
        <v>72</v>
      </c>
      <c r="D562" s="24" t="s">
        <v>3</v>
      </c>
      <c r="E562" s="32" t="s">
        <v>36</v>
      </c>
      <c r="F562" s="32" t="s">
        <v>27</v>
      </c>
      <c r="H562" s="24" t="s">
        <v>191</v>
      </c>
      <c r="I562" s="74" t="s">
        <v>27</v>
      </c>
      <c r="J562" s="105"/>
      <c r="K562" s="99"/>
    </row>
    <row r="563" spans="1:12" x14ac:dyDescent="0.3">
      <c r="A563" s="1" t="s">
        <v>38</v>
      </c>
      <c r="B563" s="33" t="s">
        <v>4</v>
      </c>
      <c r="C563" s="34"/>
      <c r="D563" s="35"/>
      <c r="E563" s="36"/>
      <c r="F563" s="37">
        <f>F564+F571</f>
        <v>746520.5625</v>
      </c>
      <c r="H563" s="37"/>
      <c r="I563" s="89">
        <f>I564+I571</f>
        <v>817708.40625</v>
      </c>
      <c r="J563" s="106"/>
      <c r="K563" s="42"/>
      <c r="L563" s="42"/>
    </row>
    <row r="564" spans="1:12" x14ac:dyDescent="0.3">
      <c r="A564" s="1">
        <v>1</v>
      </c>
      <c r="B564" s="33" t="s">
        <v>46</v>
      </c>
      <c r="C564" s="24"/>
      <c r="D564" s="24"/>
      <c r="E564" s="37"/>
      <c r="F564" s="37">
        <f>F565+F568</f>
        <v>730800.5625</v>
      </c>
      <c r="G564" s="107"/>
      <c r="H564" s="37">
        <f t="shared" ref="H564" si="74">H565+H568</f>
        <v>0</v>
      </c>
      <c r="I564" s="89">
        <f>I565+I568</f>
        <v>800488.40625</v>
      </c>
      <c r="J564" s="106">
        <f>I564-F564</f>
        <v>69687.84375</v>
      </c>
      <c r="K564" s="41"/>
      <c r="L564" s="41"/>
    </row>
    <row r="565" spans="1:12" ht="19.5" x14ac:dyDescent="0.35">
      <c r="A565" s="103" t="s">
        <v>141</v>
      </c>
      <c r="B565" s="95" t="s">
        <v>87</v>
      </c>
      <c r="C565" s="25"/>
      <c r="D565" s="25"/>
      <c r="E565" s="102"/>
      <c r="F565" s="36">
        <f>F566+F567</f>
        <v>635478.75</v>
      </c>
      <c r="G565" s="108"/>
      <c r="H565" s="102"/>
      <c r="I565" s="92">
        <f>I566+I567</f>
        <v>696076.875</v>
      </c>
      <c r="J565" s="106"/>
      <c r="K565" s="41"/>
      <c r="L565" s="41"/>
    </row>
    <row r="566" spans="1:12" x14ac:dyDescent="0.3">
      <c r="A566" s="1" t="s">
        <v>135</v>
      </c>
      <c r="B566" s="65" t="s">
        <v>103</v>
      </c>
      <c r="C566" s="18" t="s">
        <v>89</v>
      </c>
      <c r="D566" s="19">
        <v>0.75</v>
      </c>
      <c r="E566" s="36">
        <f>'NHÂN CÔNG'!G6</f>
        <v>228285</v>
      </c>
      <c r="F566" s="36">
        <f>E566*D566</f>
        <v>171213.75</v>
      </c>
      <c r="H566" s="35">
        <f>D566+0.125</f>
        <v>0.875</v>
      </c>
      <c r="I566" s="79">
        <f>E566*H566</f>
        <v>199749.375</v>
      </c>
      <c r="J566" s="106"/>
      <c r="L566" s="109"/>
    </row>
    <row r="567" spans="1:12" x14ac:dyDescent="0.3">
      <c r="A567" s="1" t="s">
        <v>135</v>
      </c>
      <c r="B567" s="65" t="s">
        <v>104</v>
      </c>
      <c r="C567" s="18" t="s">
        <v>89</v>
      </c>
      <c r="D567" s="19">
        <v>1.81</v>
      </c>
      <c r="E567" s="36">
        <f>'NHÂN CÔNG'!G7</f>
        <v>256500</v>
      </c>
      <c r="F567" s="36">
        <f t="shared" ref="F567:F572" si="75">E567*D567</f>
        <v>464265</v>
      </c>
      <c r="H567" s="35">
        <f>D567+0.125</f>
        <v>1.9350000000000001</v>
      </c>
      <c r="I567" s="79">
        <f t="shared" ref="I567" si="76">E567*H567</f>
        <v>496327.5</v>
      </c>
      <c r="J567" s="106"/>
      <c r="L567" s="109"/>
    </row>
    <row r="568" spans="1:12" ht="39" x14ac:dyDescent="0.35">
      <c r="A568" s="103" t="s">
        <v>142</v>
      </c>
      <c r="B568" s="95" t="s">
        <v>91</v>
      </c>
      <c r="C568" s="25"/>
      <c r="D568" s="104"/>
      <c r="E568" s="102"/>
      <c r="F568" s="36">
        <f>F569+F570</f>
        <v>95321.8125</v>
      </c>
      <c r="G568" s="108"/>
      <c r="H568" s="110"/>
      <c r="I568" s="92">
        <f>I569+I570</f>
        <v>104411.53125</v>
      </c>
      <c r="J568" s="106"/>
      <c r="K568" s="41"/>
      <c r="L568" s="41"/>
    </row>
    <row r="569" spans="1:12" x14ac:dyDescent="0.3">
      <c r="A569" s="1" t="s">
        <v>135</v>
      </c>
      <c r="B569" s="65" t="s">
        <v>103</v>
      </c>
      <c r="C569" s="18" t="s">
        <v>89</v>
      </c>
      <c r="D569" s="19">
        <f>D566*15%</f>
        <v>0.11249999999999999</v>
      </c>
      <c r="E569" s="36">
        <f>E566</f>
        <v>228285</v>
      </c>
      <c r="F569" s="36">
        <f t="shared" si="75"/>
        <v>25682.062499999996</v>
      </c>
      <c r="H569" s="35">
        <f>H566*15%</f>
        <v>0.13125000000000001</v>
      </c>
      <c r="I569" s="79">
        <f>E569*H569</f>
        <v>29962.40625</v>
      </c>
      <c r="J569" s="106"/>
      <c r="L569" s="109"/>
    </row>
    <row r="570" spans="1:12" x14ac:dyDescent="0.3">
      <c r="A570" s="1" t="s">
        <v>135</v>
      </c>
      <c r="B570" s="65" t="s">
        <v>104</v>
      </c>
      <c r="C570" s="18" t="s">
        <v>89</v>
      </c>
      <c r="D570" s="19">
        <f>D567*15%</f>
        <v>0.27150000000000002</v>
      </c>
      <c r="E570" s="36">
        <f>E567</f>
        <v>256500</v>
      </c>
      <c r="F570" s="36">
        <f t="shared" si="75"/>
        <v>69639.75</v>
      </c>
      <c r="H570" s="35">
        <f>H567*15%</f>
        <v>0.29025000000000001</v>
      </c>
      <c r="I570" s="79">
        <f t="shared" ref="I570" si="77">E570*H570</f>
        <v>74449.125</v>
      </c>
      <c r="J570" s="106"/>
      <c r="L570" s="109"/>
    </row>
    <row r="571" spans="1:12" x14ac:dyDescent="0.3">
      <c r="A571" s="1">
        <v>2</v>
      </c>
      <c r="B571" s="33" t="s">
        <v>47</v>
      </c>
      <c r="C571" s="24"/>
      <c r="D571" s="26"/>
      <c r="E571" s="37"/>
      <c r="F571" s="37">
        <f>F572</f>
        <v>15720</v>
      </c>
      <c r="G571" s="107"/>
      <c r="H571" s="33"/>
      <c r="I571" s="89">
        <f>I572</f>
        <v>17220</v>
      </c>
      <c r="J571" s="106">
        <f t="shared" ref="J571:J573" si="78">I571-F571</f>
        <v>1500</v>
      </c>
      <c r="K571" s="41"/>
      <c r="L571" s="41"/>
    </row>
    <row r="572" spans="1:12" x14ac:dyDescent="0.3">
      <c r="A572" s="1" t="s">
        <v>135</v>
      </c>
      <c r="B572" s="65" t="s">
        <v>6</v>
      </c>
      <c r="C572" s="18" t="s">
        <v>92</v>
      </c>
      <c r="D572" s="19">
        <v>1.31</v>
      </c>
      <c r="E572" s="36">
        <f>'THIẾT BỊ'!F7</f>
        <v>12000</v>
      </c>
      <c r="F572" s="36">
        <f t="shared" si="75"/>
        <v>15720</v>
      </c>
      <c r="H572" s="35">
        <f>D572+0.125</f>
        <v>1.4350000000000001</v>
      </c>
      <c r="I572" s="79">
        <f t="shared" ref="I572" si="79">E572*H572</f>
        <v>17220</v>
      </c>
      <c r="J572" s="106"/>
      <c r="L572" s="109"/>
    </row>
    <row r="573" spans="1:12" x14ac:dyDescent="0.3">
      <c r="A573" s="1" t="s">
        <v>39</v>
      </c>
      <c r="B573" s="33" t="s">
        <v>11</v>
      </c>
      <c r="C573" s="38" t="s">
        <v>12</v>
      </c>
      <c r="D573" s="33">
        <v>15</v>
      </c>
      <c r="E573" s="37"/>
      <c r="F573" s="37">
        <f>F563*D573%</f>
        <v>111978.08437499999</v>
      </c>
      <c r="G573" s="107"/>
      <c r="H573" s="33"/>
      <c r="I573" s="77">
        <f>I563*D573%</f>
        <v>122656.26093749999</v>
      </c>
      <c r="J573" s="106">
        <f t="shared" si="78"/>
        <v>10678.176562499997</v>
      </c>
      <c r="L573" s="109"/>
    </row>
    <row r="574" spans="1:12" x14ac:dyDescent="0.3">
      <c r="A574" s="1"/>
      <c r="B574" s="49" t="s">
        <v>85</v>
      </c>
      <c r="C574" s="38"/>
      <c r="D574" s="33"/>
      <c r="E574" s="37"/>
      <c r="F574" s="37">
        <f>F563+F573</f>
        <v>858498.64687499998</v>
      </c>
      <c r="G574" s="107"/>
      <c r="H574" s="111"/>
      <c r="I574" s="112">
        <f>I563+I573</f>
        <v>940364.66718750005</v>
      </c>
      <c r="J574" s="106">
        <f>I574-F574</f>
        <v>81866.02031250007</v>
      </c>
      <c r="K574" s="41"/>
      <c r="L574" s="41"/>
    </row>
    <row r="575" spans="1:12" ht="37.5" x14ac:dyDescent="0.3">
      <c r="A575" s="1"/>
      <c r="B575" s="49" t="s">
        <v>296</v>
      </c>
      <c r="C575" s="38"/>
      <c r="D575" s="33"/>
      <c r="E575" s="37"/>
      <c r="F575" s="37">
        <f>J574</f>
        <v>81866.02031250007</v>
      </c>
      <c r="G575" s="107"/>
      <c r="H575" s="113"/>
      <c r="I575" s="113"/>
      <c r="J575" s="41"/>
      <c r="K575" s="41"/>
      <c r="L575" s="41"/>
    </row>
    <row r="576" spans="1:12" x14ac:dyDescent="0.3">
      <c r="A576" s="28"/>
      <c r="B576" s="30"/>
      <c r="C576" s="30"/>
      <c r="D576" s="30"/>
      <c r="E576" s="31"/>
      <c r="F576" s="31"/>
      <c r="I576" s="109"/>
      <c r="L576" s="109"/>
    </row>
    <row r="577" spans="1:12" ht="36.950000000000003" customHeight="1" x14ac:dyDescent="0.3">
      <c r="A577" s="28" t="s">
        <v>200</v>
      </c>
      <c r="B577" s="160" t="s">
        <v>111</v>
      </c>
      <c r="C577" s="160"/>
      <c r="D577" s="160"/>
      <c r="E577" s="160"/>
      <c r="F577" s="160"/>
      <c r="H577" s="42"/>
      <c r="I577" s="42"/>
      <c r="J577" s="42"/>
      <c r="K577" s="42"/>
      <c r="L577" s="42"/>
    </row>
    <row r="578" spans="1:12" x14ac:dyDescent="0.3">
      <c r="A578" s="28"/>
      <c r="B578" s="28"/>
      <c r="C578" s="30"/>
      <c r="D578" s="30"/>
      <c r="E578" s="31"/>
      <c r="F578" s="31"/>
      <c r="H578" s="42"/>
      <c r="I578" s="42"/>
      <c r="J578" s="42"/>
      <c r="K578" s="42"/>
      <c r="L578" s="42"/>
    </row>
    <row r="579" spans="1:12" x14ac:dyDescent="0.3">
      <c r="A579" s="28">
        <v>1</v>
      </c>
      <c r="B579" s="20" t="s">
        <v>176</v>
      </c>
      <c r="C579" s="30"/>
      <c r="D579" s="30"/>
      <c r="E579" s="31"/>
      <c r="F579" s="31"/>
    </row>
    <row r="580" spans="1:12" ht="19.5" x14ac:dyDescent="0.3">
      <c r="A580" s="28"/>
      <c r="B580" s="63" t="s">
        <v>112</v>
      </c>
      <c r="C580" s="30"/>
      <c r="D580" s="30"/>
      <c r="E580" s="31"/>
      <c r="F580" s="31"/>
    </row>
    <row r="581" spans="1:12" x14ac:dyDescent="0.3">
      <c r="A581" s="28"/>
      <c r="B581" s="30"/>
      <c r="C581" s="30"/>
      <c r="D581" s="30"/>
      <c r="E581" s="31"/>
      <c r="F581" s="31"/>
    </row>
    <row r="582" spans="1:12" ht="37.5" x14ac:dyDescent="0.3">
      <c r="A582" s="1"/>
      <c r="B582" s="24" t="s">
        <v>1</v>
      </c>
      <c r="C582" s="24" t="s">
        <v>72</v>
      </c>
      <c r="D582" s="24" t="s">
        <v>3</v>
      </c>
      <c r="E582" s="32" t="s">
        <v>36</v>
      </c>
      <c r="F582" s="32" t="s">
        <v>27</v>
      </c>
    </row>
    <row r="583" spans="1:12" x14ac:dyDescent="0.3">
      <c r="A583" s="1" t="s">
        <v>38</v>
      </c>
      <c r="B583" s="33" t="s">
        <v>4</v>
      </c>
      <c r="C583" s="34"/>
      <c r="D583" s="35"/>
      <c r="E583" s="36"/>
      <c r="F583" s="37">
        <f>F584+F591+F594</f>
        <v>224849698.60750002</v>
      </c>
    </row>
    <row r="584" spans="1:12" x14ac:dyDescent="0.3">
      <c r="A584" s="1">
        <v>1</v>
      </c>
      <c r="B584" s="33" t="s">
        <v>46</v>
      </c>
      <c r="C584" s="24"/>
      <c r="D584" s="24"/>
      <c r="E584" s="37"/>
      <c r="F584" s="37">
        <f>F585+F588</f>
        <v>215129898.60750002</v>
      </c>
    </row>
    <row r="585" spans="1:12" ht="19.5" x14ac:dyDescent="0.35">
      <c r="A585" s="103" t="s">
        <v>141</v>
      </c>
      <c r="B585" s="95" t="s">
        <v>87</v>
      </c>
      <c r="C585" s="25"/>
      <c r="D585" s="25"/>
      <c r="E585" s="102"/>
      <c r="F585" s="36">
        <f>F586+F587</f>
        <v>187069477.05000001</v>
      </c>
    </row>
    <row r="586" spans="1:12" x14ac:dyDescent="0.3">
      <c r="A586" s="1" t="s">
        <v>135</v>
      </c>
      <c r="B586" s="65" t="s">
        <v>103</v>
      </c>
      <c r="C586" s="18" t="s">
        <v>89</v>
      </c>
      <c r="D586" s="19">
        <v>662.13</v>
      </c>
      <c r="E586" s="36">
        <f>'NHÂN CÔNG'!G6</f>
        <v>228285</v>
      </c>
      <c r="F586" s="36">
        <f>E586*D586</f>
        <v>151154347.05000001</v>
      </c>
    </row>
    <row r="587" spans="1:12" x14ac:dyDescent="0.3">
      <c r="A587" s="1" t="s">
        <v>135</v>
      </c>
      <c r="B587" s="65" t="s">
        <v>104</v>
      </c>
      <c r="C587" s="18" t="s">
        <v>89</v>
      </c>
      <c r="D587" s="19">
        <v>140.02000000000001</v>
      </c>
      <c r="E587" s="36">
        <f>'NHÂN CÔNG'!G7</f>
        <v>256500</v>
      </c>
      <c r="F587" s="36">
        <f t="shared" ref="F587:F596" si="80">E587*D587</f>
        <v>35915130</v>
      </c>
    </row>
    <row r="588" spans="1:12" ht="39" x14ac:dyDescent="0.35">
      <c r="A588" s="103" t="s">
        <v>142</v>
      </c>
      <c r="B588" s="95" t="s">
        <v>91</v>
      </c>
      <c r="C588" s="25"/>
      <c r="D588" s="104"/>
      <c r="E588" s="102"/>
      <c r="F588" s="36">
        <f>F589+F590</f>
        <v>28060421.557499997</v>
      </c>
    </row>
    <row r="589" spans="1:12" x14ac:dyDescent="0.3">
      <c r="A589" s="1" t="s">
        <v>135</v>
      </c>
      <c r="B589" s="65" t="s">
        <v>103</v>
      </c>
      <c r="C589" s="18" t="s">
        <v>89</v>
      </c>
      <c r="D589" s="19">
        <f>D586*15%</f>
        <v>99.319499999999991</v>
      </c>
      <c r="E589" s="36">
        <f>E586</f>
        <v>228285</v>
      </c>
      <c r="F589" s="36">
        <f t="shared" si="80"/>
        <v>22673152.057499997</v>
      </c>
    </row>
    <row r="590" spans="1:12" x14ac:dyDescent="0.3">
      <c r="A590" s="1" t="s">
        <v>135</v>
      </c>
      <c r="B590" s="65" t="s">
        <v>104</v>
      </c>
      <c r="C590" s="18" t="s">
        <v>89</v>
      </c>
      <c r="D590" s="19">
        <f>D587*15%</f>
        <v>21.003</v>
      </c>
      <c r="E590" s="36">
        <f>E587</f>
        <v>256500</v>
      </c>
      <c r="F590" s="36">
        <f t="shared" si="80"/>
        <v>5387269.5</v>
      </c>
    </row>
    <row r="591" spans="1:12" x14ac:dyDescent="0.3">
      <c r="A591" s="1">
        <v>2</v>
      </c>
      <c r="B591" s="33" t="s">
        <v>47</v>
      </c>
      <c r="C591" s="24"/>
      <c r="D591" s="26"/>
      <c r="E591" s="37"/>
      <c r="F591" s="37">
        <f>F592+F593</f>
        <v>9626200</v>
      </c>
    </row>
    <row r="592" spans="1:12" x14ac:dyDescent="0.3">
      <c r="A592" s="1" t="s">
        <v>135</v>
      </c>
      <c r="B592" s="65" t="s">
        <v>6</v>
      </c>
      <c r="C592" s="18" t="s">
        <v>92</v>
      </c>
      <c r="D592" s="19">
        <v>802.15</v>
      </c>
      <c r="E592" s="36">
        <f>'THIẾT BỊ'!F7</f>
        <v>12000</v>
      </c>
      <c r="F592" s="36">
        <f t="shared" si="80"/>
        <v>9625800</v>
      </c>
    </row>
    <row r="593" spans="1:12" x14ac:dyDescent="0.3">
      <c r="A593" s="1" t="s">
        <v>135</v>
      </c>
      <c r="B593" s="65" t="s">
        <v>7</v>
      </c>
      <c r="C593" s="18" t="s">
        <v>92</v>
      </c>
      <c r="D593" s="19">
        <v>0.05</v>
      </c>
      <c r="E593" s="36">
        <f>'THIẾT BỊ'!F8</f>
        <v>8000</v>
      </c>
      <c r="F593" s="36">
        <f t="shared" si="80"/>
        <v>400</v>
      </c>
    </row>
    <row r="594" spans="1:12" x14ac:dyDescent="0.3">
      <c r="A594" s="1">
        <v>3</v>
      </c>
      <c r="B594" s="33" t="s">
        <v>48</v>
      </c>
      <c r="C594" s="24"/>
      <c r="D594" s="26"/>
      <c r="E594" s="37"/>
      <c r="F594" s="37">
        <f>F595+F596</f>
        <v>93600</v>
      </c>
    </row>
    <row r="595" spans="1:12" x14ac:dyDescent="0.3">
      <c r="A595" s="1" t="s">
        <v>135</v>
      </c>
      <c r="B595" s="65" t="s">
        <v>93</v>
      </c>
      <c r="C595" s="18" t="s">
        <v>15</v>
      </c>
      <c r="D595" s="19">
        <v>0.24</v>
      </c>
      <c r="E595" s="36">
        <f>'VẬT LIỆU'!D5</f>
        <v>90000</v>
      </c>
      <c r="F595" s="36">
        <f t="shared" si="80"/>
        <v>21600</v>
      </c>
    </row>
    <row r="596" spans="1:12" x14ac:dyDescent="0.3">
      <c r="A596" s="1" t="s">
        <v>135</v>
      </c>
      <c r="B596" s="65" t="s">
        <v>10</v>
      </c>
      <c r="C596" s="18" t="s">
        <v>16</v>
      </c>
      <c r="D596" s="19">
        <v>0.08</v>
      </c>
      <c r="E596" s="36">
        <f>'VẬT LIỆU'!D6</f>
        <v>900000</v>
      </c>
      <c r="F596" s="36">
        <f t="shared" si="80"/>
        <v>72000</v>
      </c>
    </row>
    <row r="597" spans="1:12" x14ac:dyDescent="0.3">
      <c r="A597" s="1" t="s">
        <v>39</v>
      </c>
      <c r="B597" s="33" t="s">
        <v>11</v>
      </c>
      <c r="C597" s="38" t="s">
        <v>12</v>
      </c>
      <c r="D597" s="33">
        <v>15</v>
      </c>
      <c r="E597" s="37"/>
      <c r="F597" s="37">
        <f>F583*D597%</f>
        <v>33727454.791125</v>
      </c>
      <c r="G597" s="107"/>
      <c r="H597" s="48"/>
      <c r="I597" s="46"/>
      <c r="L597" s="109"/>
    </row>
    <row r="598" spans="1:12" x14ac:dyDescent="0.3">
      <c r="A598" s="1"/>
      <c r="B598" s="49" t="s">
        <v>85</v>
      </c>
      <c r="C598" s="38"/>
      <c r="D598" s="33"/>
      <c r="E598" s="37"/>
      <c r="F598" s="37">
        <f>F583+F597</f>
        <v>258577153.39862502</v>
      </c>
      <c r="G598" s="107"/>
      <c r="H598" s="42"/>
      <c r="I598" s="42"/>
      <c r="J598" s="41"/>
      <c r="K598" s="41"/>
      <c r="L598" s="41"/>
    </row>
    <row r="599" spans="1:12" x14ac:dyDescent="0.3">
      <c r="A599" s="28"/>
      <c r="B599" s="30"/>
      <c r="C599" s="30"/>
      <c r="D599" s="30"/>
      <c r="E599" s="31"/>
      <c r="F599" s="31"/>
    </row>
    <row r="600" spans="1:12" x14ac:dyDescent="0.3">
      <c r="A600" s="28">
        <v>2</v>
      </c>
      <c r="B600" s="20" t="s">
        <v>177</v>
      </c>
      <c r="C600" s="30"/>
      <c r="D600" s="30"/>
      <c r="E600" s="31"/>
      <c r="F600" s="31"/>
    </row>
    <row r="601" spans="1:12" ht="19.5" x14ac:dyDescent="0.3">
      <c r="A601" s="28"/>
      <c r="B601" s="63" t="s">
        <v>113</v>
      </c>
      <c r="C601" s="30"/>
      <c r="D601" s="30"/>
      <c r="E601" s="31"/>
      <c r="F601" s="31"/>
    </row>
    <row r="602" spans="1:12" x14ac:dyDescent="0.3">
      <c r="A602" s="28"/>
      <c r="B602" s="30"/>
      <c r="C602" s="30"/>
      <c r="D602" s="30"/>
      <c r="E602" s="31"/>
      <c r="F602" s="31"/>
    </row>
    <row r="603" spans="1:12" ht="37.5" x14ac:dyDescent="0.3">
      <c r="A603" s="1"/>
      <c r="B603" s="24" t="s">
        <v>1</v>
      </c>
      <c r="C603" s="24" t="s">
        <v>72</v>
      </c>
      <c r="D603" s="24" t="s">
        <v>3</v>
      </c>
      <c r="E603" s="32" t="s">
        <v>36</v>
      </c>
      <c r="F603" s="32" t="s">
        <v>27</v>
      </c>
    </row>
    <row r="604" spans="1:12" x14ac:dyDescent="0.3">
      <c r="A604" s="1" t="s">
        <v>38</v>
      </c>
      <c r="B604" s="33" t="s">
        <v>4</v>
      </c>
      <c r="C604" s="34"/>
      <c r="D604" s="35"/>
      <c r="E604" s="36"/>
      <c r="F604" s="37">
        <f>F605+F612+F615</f>
        <v>8841111.5775000006</v>
      </c>
    </row>
    <row r="605" spans="1:12" x14ac:dyDescent="0.3">
      <c r="A605" s="1">
        <v>1</v>
      </c>
      <c r="B605" s="33" t="s">
        <v>46</v>
      </c>
      <c r="C605" s="24"/>
      <c r="D605" s="24"/>
      <c r="E605" s="37"/>
      <c r="F605" s="37">
        <f>F606+F609</f>
        <v>8423571.5775000006</v>
      </c>
    </row>
    <row r="606" spans="1:12" ht="19.5" x14ac:dyDescent="0.35">
      <c r="A606" s="103" t="s">
        <v>141</v>
      </c>
      <c r="B606" s="95" t="s">
        <v>87</v>
      </c>
      <c r="C606" s="25"/>
      <c r="D606" s="25"/>
      <c r="E606" s="102"/>
      <c r="F606" s="36">
        <f>F607+F608</f>
        <v>7324844.8499999996</v>
      </c>
    </row>
    <row r="607" spans="1:12" x14ac:dyDescent="0.3">
      <c r="A607" s="1" t="s">
        <v>135</v>
      </c>
      <c r="B607" s="65" t="s">
        <v>103</v>
      </c>
      <c r="C607" s="18" t="s">
        <v>89</v>
      </c>
      <c r="D607" s="19">
        <v>12.21</v>
      </c>
      <c r="E607" s="36">
        <f>'NHÂN CÔNG'!G6</f>
        <v>228285</v>
      </c>
      <c r="F607" s="36">
        <f>E607*D607</f>
        <v>2787359.85</v>
      </c>
    </row>
    <row r="608" spans="1:12" x14ac:dyDescent="0.3">
      <c r="A608" s="1" t="s">
        <v>135</v>
      </c>
      <c r="B608" s="65" t="s">
        <v>104</v>
      </c>
      <c r="C608" s="18" t="s">
        <v>89</v>
      </c>
      <c r="D608" s="19">
        <v>17.690000000000001</v>
      </c>
      <c r="E608" s="36">
        <f>'NHÂN CÔNG'!G7</f>
        <v>256500</v>
      </c>
      <c r="F608" s="36">
        <f t="shared" ref="F608:F617" si="81">E608*D608</f>
        <v>4537485</v>
      </c>
    </row>
    <row r="609" spans="1:12" ht="39" x14ac:dyDescent="0.35">
      <c r="A609" s="103" t="s">
        <v>142</v>
      </c>
      <c r="B609" s="95" t="s">
        <v>91</v>
      </c>
      <c r="C609" s="25"/>
      <c r="D609" s="104"/>
      <c r="E609" s="102"/>
      <c r="F609" s="36">
        <f>F610+F611</f>
        <v>1098726.7275</v>
      </c>
    </row>
    <row r="610" spans="1:12" x14ac:dyDescent="0.3">
      <c r="A610" s="1" t="s">
        <v>135</v>
      </c>
      <c r="B610" s="65" t="s">
        <v>103</v>
      </c>
      <c r="C610" s="18" t="s">
        <v>89</v>
      </c>
      <c r="D610" s="19">
        <f>D607*15%</f>
        <v>1.8315000000000001</v>
      </c>
      <c r="E610" s="36">
        <f>E607</f>
        <v>228285</v>
      </c>
      <c r="F610" s="36">
        <f t="shared" si="81"/>
        <v>418103.97750000004</v>
      </c>
    </row>
    <row r="611" spans="1:12" x14ac:dyDescent="0.3">
      <c r="A611" s="1" t="s">
        <v>135</v>
      </c>
      <c r="B611" s="65" t="s">
        <v>104</v>
      </c>
      <c r="C611" s="18" t="s">
        <v>89</v>
      </c>
      <c r="D611" s="19">
        <f>D608*15%</f>
        <v>2.6535000000000002</v>
      </c>
      <c r="E611" s="36">
        <f>E608</f>
        <v>256500</v>
      </c>
      <c r="F611" s="36">
        <f t="shared" si="81"/>
        <v>680622.75</v>
      </c>
    </row>
    <row r="612" spans="1:12" x14ac:dyDescent="0.3">
      <c r="A612" s="1">
        <v>2</v>
      </c>
      <c r="B612" s="33" t="s">
        <v>47</v>
      </c>
      <c r="C612" s="24"/>
      <c r="D612" s="26"/>
      <c r="E612" s="37"/>
      <c r="F612" s="37">
        <f>F613+F614</f>
        <v>359040</v>
      </c>
    </row>
    <row r="613" spans="1:12" x14ac:dyDescent="0.3">
      <c r="A613" s="1" t="s">
        <v>135</v>
      </c>
      <c r="B613" s="65" t="s">
        <v>6</v>
      </c>
      <c r="C613" s="18" t="s">
        <v>92</v>
      </c>
      <c r="D613" s="19">
        <v>29.9</v>
      </c>
      <c r="E613" s="36">
        <f>'THIẾT BỊ'!F7</f>
        <v>12000</v>
      </c>
      <c r="F613" s="36">
        <f t="shared" si="81"/>
        <v>358800</v>
      </c>
    </row>
    <row r="614" spans="1:12" x14ac:dyDescent="0.3">
      <c r="A614" s="1" t="s">
        <v>135</v>
      </c>
      <c r="B614" s="65" t="s">
        <v>7</v>
      </c>
      <c r="C614" s="18" t="s">
        <v>92</v>
      </c>
      <c r="D614" s="19">
        <v>0.03</v>
      </c>
      <c r="E614" s="36">
        <f>'THIẾT BỊ'!F8</f>
        <v>8000</v>
      </c>
      <c r="F614" s="36">
        <f t="shared" si="81"/>
        <v>240</v>
      </c>
    </row>
    <row r="615" spans="1:12" x14ac:dyDescent="0.3">
      <c r="A615" s="1">
        <v>3</v>
      </c>
      <c r="B615" s="33" t="s">
        <v>48</v>
      </c>
      <c r="C615" s="24"/>
      <c r="D615" s="26"/>
      <c r="E615" s="37"/>
      <c r="F615" s="37">
        <f>F616+F617</f>
        <v>58500</v>
      </c>
    </row>
    <row r="616" spans="1:12" x14ac:dyDescent="0.3">
      <c r="A616" s="1" t="s">
        <v>135</v>
      </c>
      <c r="B616" s="65" t="s">
        <v>93</v>
      </c>
      <c r="C616" s="18" t="s">
        <v>15</v>
      </c>
      <c r="D616" s="19">
        <v>0.15</v>
      </c>
      <c r="E616" s="36">
        <f>'VẬT LIỆU'!D5</f>
        <v>90000</v>
      </c>
      <c r="F616" s="36">
        <f t="shared" si="81"/>
        <v>13500</v>
      </c>
    </row>
    <row r="617" spans="1:12" x14ac:dyDescent="0.3">
      <c r="A617" s="1" t="s">
        <v>135</v>
      </c>
      <c r="B617" s="65" t="s">
        <v>10</v>
      </c>
      <c r="C617" s="18" t="s">
        <v>16</v>
      </c>
      <c r="D617" s="19">
        <v>0.05</v>
      </c>
      <c r="E617" s="36">
        <f>'VẬT LIỆU'!D6</f>
        <v>900000</v>
      </c>
      <c r="F617" s="36">
        <f t="shared" si="81"/>
        <v>45000</v>
      </c>
    </row>
    <row r="618" spans="1:12" x14ac:dyDescent="0.3">
      <c r="A618" s="1" t="s">
        <v>39</v>
      </c>
      <c r="B618" s="33" t="s">
        <v>11</v>
      </c>
      <c r="C618" s="38" t="s">
        <v>12</v>
      </c>
      <c r="D618" s="33">
        <v>15</v>
      </c>
      <c r="E618" s="37"/>
      <c r="F618" s="37">
        <f>F604*D618%</f>
        <v>1326166.7366250001</v>
      </c>
      <c r="G618" s="107"/>
      <c r="H618" s="48"/>
      <c r="I618" s="46"/>
      <c r="L618" s="109"/>
    </row>
    <row r="619" spans="1:12" x14ac:dyDescent="0.3">
      <c r="A619" s="1"/>
      <c r="B619" s="49" t="s">
        <v>85</v>
      </c>
      <c r="C619" s="38"/>
      <c r="D619" s="33"/>
      <c r="E619" s="37"/>
      <c r="F619" s="37">
        <f>F604+F618</f>
        <v>10167278.314125001</v>
      </c>
      <c r="G619" s="107"/>
      <c r="H619" s="42"/>
      <c r="I619" s="42"/>
      <c r="J619" s="41"/>
      <c r="K619" s="41"/>
      <c r="L619" s="41"/>
    </row>
    <row r="620" spans="1:12" x14ac:dyDescent="0.3">
      <c r="A620" s="28"/>
      <c r="B620" s="30"/>
      <c r="C620" s="30"/>
      <c r="D620" s="30"/>
      <c r="E620" s="31"/>
      <c r="F620" s="31"/>
    </row>
    <row r="621" spans="1:12" x14ac:dyDescent="0.3">
      <c r="A621" s="28" t="s">
        <v>201</v>
      </c>
      <c r="B621" s="155" t="s">
        <v>114</v>
      </c>
      <c r="C621" s="155"/>
      <c r="D621" s="155"/>
      <c r="E621" s="155"/>
      <c r="F621" s="155"/>
    </row>
    <row r="622" spans="1:12" ht="20.100000000000001" customHeight="1" x14ac:dyDescent="0.3">
      <c r="A622" s="28">
        <v>1</v>
      </c>
      <c r="B622" s="158" t="s">
        <v>155</v>
      </c>
      <c r="C622" s="158"/>
      <c r="D622" s="158"/>
      <c r="E622" s="158"/>
      <c r="F622" s="158"/>
    </row>
    <row r="623" spans="1:12" ht="19.5" x14ac:dyDescent="0.3">
      <c r="A623" s="28"/>
      <c r="B623" s="63" t="s">
        <v>115</v>
      </c>
      <c r="C623" s="23"/>
      <c r="D623" s="23"/>
      <c r="E623" s="23"/>
      <c r="F623" s="23"/>
    </row>
    <row r="624" spans="1:12" x14ac:dyDescent="0.3">
      <c r="A624" s="28"/>
      <c r="B624" s="30"/>
      <c r="C624" s="30"/>
      <c r="D624" s="30"/>
      <c r="E624" s="31"/>
      <c r="F624" s="31"/>
    </row>
    <row r="625" spans="1:12" ht="37.5" x14ac:dyDescent="0.3">
      <c r="A625" s="1"/>
      <c r="B625" s="24" t="s">
        <v>1</v>
      </c>
      <c r="C625" s="24" t="s">
        <v>302</v>
      </c>
      <c r="D625" s="24" t="s">
        <v>3</v>
      </c>
      <c r="E625" s="32" t="s">
        <v>36</v>
      </c>
      <c r="F625" s="32" t="s">
        <v>27</v>
      </c>
    </row>
    <row r="626" spans="1:12" x14ac:dyDescent="0.3">
      <c r="A626" s="1" t="s">
        <v>38</v>
      </c>
      <c r="B626" s="33" t="s">
        <v>4</v>
      </c>
      <c r="C626" s="34"/>
      <c r="D626" s="35"/>
      <c r="E626" s="36"/>
      <c r="F626" s="37">
        <f>F627+F634</f>
        <v>32035.408500000001</v>
      </c>
    </row>
    <row r="627" spans="1:12" x14ac:dyDescent="0.3">
      <c r="A627" s="1">
        <v>1</v>
      </c>
      <c r="B627" s="33" t="s">
        <v>46</v>
      </c>
      <c r="C627" s="24"/>
      <c r="D627" s="24"/>
      <c r="E627" s="37"/>
      <c r="F627" s="37">
        <f>F628+F631</f>
        <v>31757.0085</v>
      </c>
    </row>
    <row r="628" spans="1:12" ht="19.5" x14ac:dyDescent="0.35">
      <c r="A628" s="103" t="s">
        <v>141</v>
      </c>
      <c r="B628" s="95" t="s">
        <v>87</v>
      </c>
      <c r="C628" s="25"/>
      <c r="D628" s="25"/>
      <c r="E628" s="102"/>
      <c r="F628" s="36">
        <f>F629+F630</f>
        <v>27614.79</v>
      </c>
    </row>
    <row r="629" spans="1:12" x14ac:dyDescent="0.3">
      <c r="A629" s="1" t="s">
        <v>135</v>
      </c>
      <c r="B629" s="65" t="s">
        <v>88</v>
      </c>
      <c r="C629" s="18" t="s">
        <v>89</v>
      </c>
      <c r="D629" s="19">
        <v>0.105</v>
      </c>
      <c r="E629" s="36">
        <f>'NHÂN CÔNG'!G7</f>
        <v>256500</v>
      </c>
      <c r="F629" s="36">
        <f>E629*D629</f>
        <v>26932.5</v>
      </c>
    </row>
    <row r="630" spans="1:12" x14ac:dyDescent="0.3">
      <c r="A630" s="1" t="s">
        <v>135</v>
      </c>
      <c r="B630" s="65" t="s">
        <v>18</v>
      </c>
      <c r="C630" s="18" t="s">
        <v>89</v>
      </c>
      <c r="D630" s="19">
        <v>2E-3</v>
      </c>
      <c r="E630" s="36">
        <f>'NHÂN CÔNG'!G10</f>
        <v>341145</v>
      </c>
      <c r="F630" s="36">
        <f t="shared" ref="F630:F636" si="82">E630*D630</f>
        <v>682.29</v>
      </c>
    </row>
    <row r="631" spans="1:12" ht="39" x14ac:dyDescent="0.35">
      <c r="A631" s="103" t="s">
        <v>142</v>
      </c>
      <c r="B631" s="95" t="s">
        <v>91</v>
      </c>
      <c r="C631" s="25"/>
      <c r="D631" s="104"/>
      <c r="E631" s="102"/>
      <c r="F631" s="36">
        <f>F632+F633</f>
        <v>4142.2184999999999</v>
      </c>
    </row>
    <row r="632" spans="1:12" x14ac:dyDescent="0.3">
      <c r="A632" s="1" t="s">
        <v>135</v>
      </c>
      <c r="B632" s="65" t="s">
        <v>88</v>
      </c>
      <c r="C632" s="18" t="s">
        <v>89</v>
      </c>
      <c r="D632" s="19">
        <f>D629*15%</f>
        <v>1.575E-2</v>
      </c>
      <c r="E632" s="36">
        <f>E629</f>
        <v>256500</v>
      </c>
      <c r="F632" s="36">
        <f t="shared" si="82"/>
        <v>4039.875</v>
      </c>
    </row>
    <row r="633" spans="1:12" x14ac:dyDescent="0.3">
      <c r="A633" s="1" t="s">
        <v>135</v>
      </c>
      <c r="B633" s="65" t="s">
        <v>18</v>
      </c>
      <c r="C633" s="18" t="s">
        <v>89</v>
      </c>
      <c r="D633" s="19">
        <f>D630*15%</f>
        <v>2.9999999999999997E-4</v>
      </c>
      <c r="E633" s="36">
        <f>E630</f>
        <v>341145</v>
      </c>
      <c r="F633" s="36">
        <f t="shared" si="82"/>
        <v>102.34349999999999</v>
      </c>
    </row>
    <row r="634" spans="1:12" x14ac:dyDescent="0.3">
      <c r="A634" s="1">
        <v>2</v>
      </c>
      <c r="B634" s="33" t="s">
        <v>47</v>
      </c>
      <c r="C634" s="24"/>
      <c r="D634" s="26"/>
      <c r="E634" s="37"/>
      <c r="F634" s="37">
        <f>F635+F636</f>
        <v>278.40000000000003</v>
      </c>
    </row>
    <row r="635" spans="1:12" x14ac:dyDescent="0.3">
      <c r="A635" s="1" t="s">
        <v>135</v>
      </c>
      <c r="B635" s="65" t="s">
        <v>6</v>
      </c>
      <c r="C635" s="18" t="s">
        <v>92</v>
      </c>
      <c r="D635" s="19">
        <v>2.1000000000000001E-2</v>
      </c>
      <c r="E635" s="36">
        <f>'THIẾT BỊ'!F7</f>
        <v>12000</v>
      </c>
      <c r="F635" s="36">
        <f t="shared" si="82"/>
        <v>252.00000000000003</v>
      </c>
    </row>
    <row r="636" spans="1:12" x14ac:dyDescent="0.3">
      <c r="A636" s="1" t="s">
        <v>135</v>
      </c>
      <c r="B636" s="65" t="s">
        <v>55</v>
      </c>
      <c r="C636" s="18" t="s">
        <v>92</v>
      </c>
      <c r="D636" s="19">
        <v>0.11</v>
      </c>
      <c r="E636" s="36">
        <f>'THIẾT BỊ'!F9</f>
        <v>240</v>
      </c>
      <c r="F636" s="36">
        <f t="shared" si="82"/>
        <v>26.4</v>
      </c>
    </row>
    <row r="637" spans="1:12" x14ac:dyDescent="0.3">
      <c r="A637" s="1" t="s">
        <v>39</v>
      </c>
      <c r="B637" s="33" t="s">
        <v>11</v>
      </c>
      <c r="C637" s="38" t="s">
        <v>12</v>
      </c>
      <c r="D637" s="33">
        <v>15</v>
      </c>
      <c r="E637" s="37"/>
      <c r="F637" s="37">
        <f>F626*D637%</f>
        <v>4805.311275</v>
      </c>
      <c r="G637" s="107"/>
      <c r="H637" s="48"/>
      <c r="I637" s="46"/>
      <c r="L637" s="109"/>
    </row>
    <row r="638" spans="1:12" x14ac:dyDescent="0.3">
      <c r="A638" s="1"/>
      <c r="B638" s="49" t="s">
        <v>85</v>
      </c>
      <c r="C638" s="38"/>
      <c r="D638" s="33"/>
      <c r="E638" s="37"/>
      <c r="F638" s="37">
        <f>F626+F637</f>
        <v>36840.719775000005</v>
      </c>
      <c r="G638" s="107"/>
      <c r="H638" s="42"/>
      <c r="I638" s="42"/>
      <c r="J638" s="41"/>
      <c r="K638" s="41"/>
      <c r="L638" s="41"/>
    </row>
    <row r="639" spans="1:12" x14ac:dyDescent="0.3">
      <c r="A639" s="28"/>
      <c r="B639" s="23"/>
      <c r="C639" s="30"/>
      <c r="D639" s="30"/>
      <c r="E639" s="31"/>
      <c r="F639" s="31"/>
    </row>
    <row r="640" spans="1:12" ht="20.45" customHeight="1" x14ac:dyDescent="0.3">
      <c r="A640" s="28">
        <v>2</v>
      </c>
      <c r="B640" s="20" t="s">
        <v>156</v>
      </c>
      <c r="C640" s="30"/>
      <c r="D640" s="30"/>
      <c r="E640" s="31"/>
      <c r="F640" s="31"/>
    </row>
    <row r="641" spans="1:12" ht="21.6" customHeight="1" x14ac:dyDescent="0.3">
      <c r="A641" s="28"/>
      <c r="B641" s="63" t="s">
        <v>115</v>
      </c>
      <c r="C641" s="30"/>
      <c r="D641" s="30"/>
      <c r="E641" s="31"/>
      <c r="F641" s="31"/>
    </row>
    <row r="642" spans="1:12" x14ac:dyDescent="0.3">
      <c r="A642" s="28"/>
      <c r="B642" s="30"/>
      <c r="C642" s="30"/>
      <c r="D642" s="30"/>
      <c r="E642" s="31"/>
      <c r="F642" s="31"/>
    </row>
    <row r="643" spans="1:12" ht="37.5" x14ac:dyDescent="0.3">
      <c r="A643" s="1"/>
      <c r="B643" s="24" t="s">
        <v>1</v>
      </c>
      <c r="C643" s="24" t="s">
        <v>72</v>
      </c>
      <c r="D643" s="24" t="s">
        <v>3</v>
      </c>
      <c r="E643" s="32" t="s">
        <v>36</v>
      </c>
      <c r="F643" s="32" t="s">
        <v>27</v>
      </c>
    </row>
    <row r="644" spans="1:12" x14ac:dyDescent="0.3">
      <c r="A644" s="1" t="s">
        <v>38</v>
      </c>
      <c r="B644" s="33" t="s">
        <v>4</v>
      </c>
      <c r="C644" s="34"/>
      <c r="D644" s="35"/>
      <c r="E644" s="36"/>
      <c r="F644" s="37">
        <f>F645+F652</f>
        <v>22277.683499999999</v>
      </c>
    </row>
    <row r="645" spans="1:12" x14ac:dyDescent="0.3">
      <c r="A645" s="1">
        <v>1</v>
      </c>
      <c r="B645" s="33" t="s">
        <v>46</v>
      </c>
      <c r="C645" s="24"/>
      <c r="D645" s="24"/>
      <c r="E645" s="37"/>
      <c r="F645" s="37">
        <f>F646+F649</f>
        <v>21432.8835</v>
      </c>
    </row>
    <row r="646" spans="1:12" ht="19.5" x14ac:dyDescent="0.35">
      <c r="A646" s="103" t="s">
        <v>141</v>
      </c>
      <c r="B646" s="95" t="s">
        <v>87</v>
      </c>
      <c r="C646" s="25"/>
      <c r="D646" s="25"/>
      <c r="E646" s="102"/>
      <c r="F646" s="36">
        <f>F647+F648</f>
        <v>18637.29</v>
      </c>
    </row>
    <row r="647" spans="1:12" x14ac:dyDescent="0.3">
      <c r="A647" s="1" t="s">
        <v>135</v>
      </c>
      <c r="B647" s="65" t="s">
        <v>88</v>
      </c>
      <c r="C647" s="18" t="s">
        <v>89</v>
      </c>
      <c r="D647" s="19">
        <v>7.0000000000000007E-2</v>
      </c>
      <c r="E647" s="36">
        <f>'NHÂN CÔNG'!G7</f>
        <v>256500</v>
      </c>
      <c r="F647" s="36">
        <f>E647*D647</f>
        <v>17955</v>
      </c>
    </row>
    <row r="648" spans="1:12" x14ac:dyDescent="0.3">
      <c r="A648" s="1" t="s">
        <v>135</v>
      </c>
      <c r="B648" s="65" t="s">
        <v>18</v>
      </c>
      <c r="C648" s="18" t="s">
        <v>89</v>
      </c>
      <c r="D648" s="19">
        <v>2E-3</v>
      </c>
      <c r="E648" s="36">
        <f>'NHÂN CÔNG'!G10</f>
        <v>341145</v>
      </c>
      <c r="F648" s="36">
        <f t="shared" ref="F648:F654" si="83">E648*D648</f>
        <v>682.29</v>
      </c>
    </row>
    <row r="649" spans="1:12" ht="39" x14ac:dyDescent="0.35">
      <c r="A649" s="103" t="s">
        <v>142</v>
      </c>
      <c r="B649" s="95" t="s">
        <v>91</v>
      </c>
      <c r="C649" s="25"/>
      <c r="D649" s="104"/>
      <c r="E649" s="102"/>
      <c r="F649" s="36">
        <f>F650+F651</f>
        <v>2795.5934999999999</v>
      </c>
    </row>
    <row r="650" spans="1:12" x14ac:dyDescent="0.3">
      <c r="A650" s="1" t="s">
        <v>135</v>
      </c>
      <c r="B650" s="65" t="s">
        <v>88</v>
      </c>
      <c r="C650" s="18" t="s">
        <v>89</v>
      </c>
      <c r="D650" s="19">
        <f>D647*15%</f>
        <v>1.0500000000000001E-2</v>
      </c>
      <c r="E650" s="36">
        <f>E647</f>
        <v>256500</v>
      </c>
      <c r="F650" s="36">
        <f t="shared" si="83"/>
        <v>2693.25</v>
      </c>
    </row>
    <row r="651" spans="1:12" x14ac:dyDescent="0.3">
      <c r="A651" s="1" t="s">
        <v>135</v>
      </c>
      <c r="B651" s="65" t="s">
        <v>18</v>
      </c>
      <c r="C651" s="18" t="s">
        <v>89</v>
      </c>
      <c r="D651" s="19">
        <f>D648*15%</f>
        <v>2.9999999999999997E-4</v>
      </c>
      <c r="E651" s="36">
        <f>E648</f>
        <v>341145</v>
      </c>
      <c r="F651" s="36">
        <f t="shared" si="83"/>
        <v>102.34349999999999</v>
      </c>
    </row>
    <row r="652" spans="1:12" x14ac:dyDescent="0.3">
      <c r="A652" s="1">
        <v>2</v>
      </c>
      <c r="B652" s="33" t="s">
        <v>47</v>
      </c>
      <c r="C652" s="24"/>
      <c r="D652" s="26"/>
      <c r="E652" s="37"/>
      <c r="F652" s="37">
        <f>F653+F654</f>
        <v>844.80000000000007</v>
      </c>
    </row>
    <row r="653" spans="1:12" x14ac:dyDescent="0.3">
      <c r="A653" s="1" t="s">
        <v>135</v>
      </c>
      <c r="B653" s="65" t="s">
        <v>6</v>
      </c>
      <c r="C653" s="18" t="s">
        <v>92</v>
      </c>
      <c r="D653" s="19">
        <v>7.0000000000000007E-2</v>
      </c>
      <c r="E653" s="36">
        <f>'THIẾT BỊ'!F7</f>
        <v>12000</v>
      </c>
      <c r="F653" s="36">
        <f t="shared" si="83"/>
        <v>840.00000000000011</v>
      </c>
    </row>
    <row r="654" spans="1:12" x14ac:dyDescent="0.3">
      <c r="A654" s="1" t="s">
        <v>135</v>
      </c>
      <c r="B654" s="65" t="s">
        <v>55</v>
      </c>
      <c r="C654" s="18" t="s">
        <v>92</v>
      </c>
      <c r="D654" s="19">
        <v>0.02</v>
      </c>
      <c r="E654" s="36">
        <f>'THIẾT BỊ'!F9</f>
        <v>240</v>
      </c>
      <c r="F654" s="36">
        <f t="shared" si="83"/>
        <v>4.8</v>
      </c>
    </row>
    <row r="655" spans="1:12" x14ac:dyDescent="0.3">
      <c r="A655" s="1" t="s">
        <v>39</v>
      </c>
      <c r="B655" s="33" t="s">
        <v>11</v>
      </c>
      <c r="C655" s="38" t="s">
        <v>12</v>
      </c>
      <c r="D655" s="33">
        <v>15</v>
      </c>
      <c r="E655" s="37"/>
      <c r="F655" s="37">
        <f>F644*D655%</f>
        <v>3341.652525</v>
      </c>
      <c r="G655" s="107"/>
      <c r="H655" s="48"/>
      <c r="I655" s="46"/>
      <c r="L655" s="109"/>
    </row>
    <row r="656" spans="1:12" x14ac:dyDescent="0.3">
      <c r="A656" s="1"/>
      <c r="B656" s="49" t="s">
        <v>85</v>
      </c>
      <c r="C656" s="38"/>
      <c r="D656" s="33"/>
      <c r="E656" s="37"/>
      <c r="F656" s="37">
        <f>F644+F655</f>
        <v>25619.336025000001</v>
      </c>
      <c r="G656" s="107"/>
      <c r="H656" s="42"/>
      <c r="I656" s="42"/>
      <c r="J656" s="41"/>
      <c r="K656" s="41"/>
      <c r="L656" s="41"/>
    </row>
    <row r="657" spans="1:12" x14ac:dyDescent="0.3">
      <c r="A657" s="28"/>
      <c r="B657" s="30"/>
      <c r="C657" s="30"/>
      <c r="D657" s="30"/>
      <c r="E657" s="31"/>
      <c r="F657" s="31"/>
    </row>
    <row r="658" spans="1:12" ht="25.15" customHeight="1" x14ac:dyDescent="0.3">
      <c r="A658" s="28">
        <v>3</v>
      </c>
      <c r="B658" s="20" t="s">
        <v>157</v>
      </c>
      <c r="C658" s="30"/>
      <c r="D658" s="30"/>
      <c r="E658" s="31"/>
      <c r="F658" s="31"/>
    </row>
    <row r="659" spans="1:12" ht="19.899999999999999" customHeight="1" x14ac:dyDescent="0.3">
      <c r="A659" s="28"/>
      <c r="B659" s="63" t="s">
        <v>115</v>
      </c>
      <c r="C659" s="30"/>
      <c r="D659" s="30"/>
      <c r="E659" s="31"/>
      <c r="F659" s="31"/>
    </row>
    <row r="660" spans="1:12" x14ac:dyDescent="0.3">
      <c r="A660" s="28"/>
      <c r="B660" s="30"/>
      <c r="C660" s="30"/>
      <c r="D660" s="30"/>
      <c r="E660" s="31"/>
      <c r="F660" s="31"/>
    </row>
    <row r="661" spans="1:12" ht="37.5" x14ac:dyDescent="0.3">
      <c r="A661" s="1"/>
      <c r="B661" s="24" t="s">
        <v>1</v>
      </c>
      <c r="C661" s="24" t="s">
        <v>72</v>
      </c>
      <c r="D661" s="24" t="s">
        <v>3</v>
      </c>
      <c r="E661" s="32" t="s">
        <v>36</v>
      </c>
      <c r="F661" s="32" t="s">
        <v>27</v>
      </c>
    </row>
    <row r="662" spans="1:12" x14ac:dyDescent="0.3">
      <c r="A662" s="1" t="s">
        <v>38</v>
      </c>
      <c r="B662" s="33" t="s">
        <v>4</v>
      </c>
      <c r="C662" s="34"/>
      <c r="D662" s="35"/>
      <c r="E662" s="36"/>
      <c r="F662" s="37">
        <f>F663+F670</f>
        <v>28412.3835</v>
      </c>
    </row>
    <row r="663" spans="1:12" x14ac:dyDescent="0.3">
      <c r="A663" s="1">
        <v>1</v>
      </c>
      <c r="B663" s="33" t="s">
        <v>46</v>
      </c>
      <c r="C663" s="24"/>
      <c r="D663" s="24"/>
      <c r="E663" s="37"/>
      <c r="F663" s="37">
        <f>F664+F667</f>
        <v>27332.3835</v>
      </c>
    </row>
    <row r="664" spans="1:12" ht="19.5" x14ac:dyDescent="0.35">
      <c r="A664" s="103" t="s">
        <v>141</v>
      </c>
      <c r="B664" s="95" t="s">
        <v>87</v>
      </c>
      <c r="C664" s="25"/>
      <c r="D664" s="25"/>
      <c r="E664" s="102"/>
      <c r="F664" s="36">
        <f>F665+F666</f>
        <v>23767.29</v>
      </c>
    </row>
    <row r="665" spans="1:12" x14ac:dyDescent="0.3">
      <c r="A665" s="1" t="s">
        <v>135</v>
      </c>
      <c r="B665" s="65" t="s">
        <v>88</v>
      </c>
      <c r="C665" s="18" t="s">
        <v>89</v>
      </c>
      <c r="D665" s="19">
        <v>0.09</v>
      </c>
      <c r="E665" s="36">
        <f>'NHÂN CÔNG'!G7</f>
        <v>256500</v>
      </c>
      <c r="F665" s="36">
        <f>E665*D665</f>
        <v>23085</v>
      </c>
    </row>
    <row r="666" spans="1:12" x14ac:dyDescent="0.3">
      <c r="A666" s="1" t="s">
        <v>135</v>
      </c>
      <c r="B666" s="65" t="s">
        <v>18</v>
      </c>
      <c r="C666" s="18" t="s">
        <v>89</v>
      </c>
      <c r="D666" s="19">
        <v>2E-3</v>
      </c>
      <c r="E666" s="36">
        <f>'NHÂN CÔNG'!G10</f>
        <v>341145</v>
      </c>
      <c r="F666" s="36">
        <f t="shared" ref="F666:F671" si="84">E666*D666</f>
        <v>682.29</v>
      </c>
    </row>
    <row r="667" spans="1:12" ht="39" x14ac:dyDescent="0.35">
      <c r="A667" s="103" t="s">
        <v>142</v>
      </c>
      <c r="B667" s="95" t="s">
        <v>91</v>
      </c>
      <c r="C667" s="25"/>
      <c r="D667" s="104"/>
      <c r="E667" s="102"/>
      <c r="F667" s="36">
        <f>F668+F669</f>
        <v>3565.0934999999999</v>
      </c>
    </row>
    <row r="668" spans="1:12" x14ac:dyDescent="0.3">
      <c r="A668" s="1" t="s">
        <v>135</v>
      </c>
      <c r="B668" s="65" t="s">
        <v>88</v>
      </c>
      <c r="C668" s="18" t="s">
        <v>89</v>
      </c>
      <c r="D668" s="19">
        <f>D665*15%</f>
        <v>1.35E-2</v>
      </c>
      <c r="E668" s="36">
        <f>E665</f>
        <v>256500</v>
      </c>
      <c r="F668" s="36">
        <f t="shared" si="84"/>
        <v>3462.75</v>
      </c>
    </row>
    <row r="669" spans="1:12" x14ac:dyDescent="0.3">
      <c r="A669" s="1" t="s">
        <v>135</v>
      </c>
      <c r="B669" s="65" t="s">
        <v>18</v>
      </c>
      <c r="C669" s="18" t="s">
        <v>89</v>
      </c>
      <c r="D669" s="19">
        <f>D666*15%</f>
        <v>2.9999999999999997E-4</v>
      </c>
      <c r="E669" s="36">
        <f>E666</f>
        <v>341145</v>
      </c>
      <c r="F669" s="36">
        <f t="shared" si="84"/>
        <v>102.34349999999999</v>
      </c>
    </row>
    <row r="670" spans="1:12" x14ac:dyDescent="0.3">
      <c r="A670" s="1">
        <v>2</v>
      </c>
      <c r="B670" s="33" t="s">
        <v>47</v>
      </c>
      <c r="C670" s="24"/>
      <c r="D670" s="24"/>
      <c r="E670" s="37"/>
      <c r="F670" s="37">
        <f>F671</f>
        <v>1080</v>
      </c>
    </row>
    <row r="671" spans="1:12" x14ac:dyDescent="0.3">
      <c r="A671" s="1" t="s">
        <v>135</v>
      </c>
      <c r="B671" s="65" t="s">
        <v>6</v>
      </c>
      <c r="C671" s="18" t="s">
        <v>92</v>
      </c>
      <c r="D671" s="19">
        <v>0.09</v>
      </c>
      <c r="E671" s="36">
        <f>'THIẾT BỊ'!F7</f>
        <v>12000</v>
      </c>
      <c r="F671" s="36">
        <f t="shared" si="84"/>
        <v>1080</v>
      </c>
    </row>
    <row r="672" spans="1:12" x14ac:dyDescent="0.3">
      <c r="A672" s="1" t="s">
        <v>39</v>
      </c>
      <c r="B672" s="33" t="s">
        <v>11</v>
      </c>
      <c r="C672" s="38" t="s">
        <v>12</v>
      </c>
      <c r="D672" s="33">
        <v>15</v>
      </c>
      <c r="E672" s="37"/>
      <c r="F672" s="37">
        <f>F662*D672%</f>
        <v>4261.8575249999994</v>
      </c>
      <c r="G672" s="107"/>
      <c r="H672" s="48"/>
      <c r="I672" s="46"/>
      <c r="L672" s="109"/>
    </row>
    <row r="673" spans="1:12" x14ac:dyDescent="0.3">
      <c r="A673" s="1"/>
      <c r="B673" s="49" t="s">
        <v>85</v>
      </c>
      <c r="C673" s="38"/>
      <c r="D673" s="33"/>
      <c r="E673" s="37"/>
      <c r="F673" s="37">
        <f>F662+F672</f>
        <v>32674.241024999999</v>
      </c>
      <c r="G673" s="107"/>
      <c r="H673" s="42"/>
      <c r="I673" s="42"/>
      <c r="J673" s="41"/>
      <c r="K673" s="41"/>
      <c r="L673" s="41"/>
    </row>
    <row r="674" spans="1:12" x14ac:dyDescent="0.3">
      <c r="A674" s="28"/>
      <c r="B674" s="30"/>
      <c r="C674" s="30"/>
      <c r="D674" s="30"/>
      <c r="E674" s="31"/>
      <c r="F674" s="31"/>
    </row>
    <row r="675" spans="1:12" x14ac:dyDescent="0.3">
      <c r="A675" s="28">
        <v>4</v>
      </c>
      <c r="B675" s="155" t="s">
        <v>158</v>
      </c>
      <c r="C675" s="155"/>
      <c r="D675" s="155"/>
      <c r="E675" s="155"/>
      <c r="F675" s="155"/>
    </row>
    <row r="676" spans="1:12" ht="19.5" x14ac:dyDescent="0.3">
      <c r="A676" s="28"/>
      <c r="B676" s="63" t="s">
        <v>115</v>
      </c>
      <c r="C676" s="30"/>
      <c r="D676" s="30"/>
      <c r="E676" s="31"/>
      <c r="F676" s="31"/>
    </row>
    <row r="677" spans="1:12" x14ac:dyDescent="0.3">
      <c r="A677" s="28"/>
      <c r="B677" s="30"/>
      <c r="C677" s="30"/>
      <c r="D677" s="30"/>
      <c r="E677" s="31"/>
      <c r="F677" s="31"/>
    </row>
    <row r="678" spans="1:12" ht="37.5" x14ac:dyDescent="0.3">
      <c r="A678" s="1"/>
      <c r="B678" s="24" t="s">
        <v>1</v>
      </c>
      <c r="C678" s="24" t="s">
        <v>72</v>
      </c>
      <c r="D678" s="24" t="s">
        <v>3</v>
      </c>
      <c r="E678" s="32" t="s">
        <v>36</v>
      </c>
      <c r="F678" s="32" t="s">
        <v>27</v>
      </c>
    </row>
    <row r="679" spans="1:12" x14ac:dyDescent="0.3">
      <c r="A679" s="1" t="s">
        <v>38</v>
      </c>
      <c r="B679" s="33" t="s">
        <v>4</v>
      </c>
      <c r="C679" s="34"/>
      <c r="D679" s="35"/>
      <c r="E679" s="36"/>
      <c r="F679" s="37">
        <f>F680+F685+F688</f>
        <v>66270.100000000006</v>
      </c>
    </row>
    <row r="680" spans="1:12" x14ac:dyDescent="0.3">
      <c r="A680" s="1">
        <v>1</v>
      </c>
      <c r="B680" s="33" t="s">
        <v>46</v>
      </c>
      <c r="C680" s="24"/>
      <c r="D680" s="24"/>
      <c r="E680" s="37"/>
      <c r="F680" s="37">
        <f>F681+F683</f>
        <v>64894.5</v>
      </c>
    </row>
    <row r="681" spans="1:12" ht="19.5" x14ac:dyDescent="0.3">
      <c r="A681" s="1" t="s">
        <v>141</v>
      </c>
      <c r="B681" s="95" t="s">
        <v>87</v>
      </c>
      <c r="C681" s="24"/>
      <c r="D681" s="24"/>
      <c r="E681" s="37"/>
      <c r="F681" s="36">
        <f>F682</f>
        <v>56430</v>
      </c>
    </row>
    <row r="682" spans="1:12" x14ac:dyDescent="0.3">
      <c r="A682" s="1" t="s">
        <v>135</v>
      </c>
      <c r="B682" s="65" t="s">
        <v>88</v>
      </c>
      <c r="C682" s="18" t="s">
        <v>89</v>
      </c>
      <c r="D682" s="19">
        <v>0.22</v>
      </c>
      <c r="E682" s="36">
        <f>'NHÂN CÔNG'!G7</f>
        <v>256500</v>
      </c>
      <c r="F682" s="36">
        <f>E682*D682</f>
        <v>56430</v>
      </c>
    </row>
    <row r="683" spans="1:12" ht="39" x14ac:dyDescent="0.3">
      <c r="A683" s="1" t="s">
        <v>142</v>
      </c>
      <c r="B683" s="95" t="s">
        <v>91</v>
      </c>
      <c r="C683" s="24"/>
      <c r="D683" s="26"/>
      <c r="E683" s="37"/>
      <c r="F683" s="36">
        <f>F684</f>
        <v>8464.5</v>
      </c>
    </row>
    <row r="684" spans="1:12" x14ac:dyDescent="0.3">
      <c r="A684" s="1" t="s">
        <v>135</v>
      </c>
      <c r="B684" s="65" t="s">
        <v>88</v>
      </c>
      <c r="C684" s="18" t="s">
        <v>89</v>
      </c>
      <c r="D684" s="19">
        <f>D682*15%</f>
        <v>3.3000000000000002E-2</v>
      </c>
      <c r="E684" s="36">
        <f>E682</f>
        <v>256500</v>
      </c>
      <c r="F684" s="36">
        <f t="shared" ref="F684:F691" si="85">E684*D684</f>
        <v>8464.5</v>
      </c>
    </row>
    <row r="685" spans="1:12" x14ac:dyDescent="0.3">
      <c r="A685" s="1">
        <v>2</v>
      </c>
      <c r="B685" s="33" t="s">
        <v>47</v>
      </c>
      <c r="C685" s="24"/>
      <c r="D685" s="26"/>
      <c r="E685" s="37"/>
      <c r="F685" s="37">
        <f>F686+F687</f>
        <v>1081.5999999999999</v>
      </c>
    </row>
    <row r="686" spans="1:12" x14ac:dyDescent="0.3">
      <c r="A686" s="1" t="s">
        <v>135</v>
      </c>
      <c r="B686" s="65" t="s">
        <v>6</v>
      </c>
      <c r="C686" s="18" t="s">
        <v>92</v>
      </c>
      <c r="D686" s="19">
        <v>0.09</v>
      </c>
      <c r="E686" s="36">
        <f>'THIẾT BỊ'!F7</f>
        <v>12000</v>
      </c>
      <c r="F686" s="36">
        <f t="shared" si="85"/>
        <v>1080</v>
      </c>
    </row>
    <row r="687" spans="1:12" x14ac:dyDescent="0.3">
      <c r="A687" s="1" t="s">
        <v>135</v>
      </c>
      <c r="B687" s="65" t="s">
        <v>7</v>
      </c>
      <c r="C687" s="18" t="s">
        <v>92</v>
      </c>
      <c r="D687" s="19">
        <v>2.0000000000000001E-4</v>
      </c>
      <c r="E687" s="36">
        <f>'THIẾT BỊ'!F8</f>
        <v>8000</v>
      </c>
      <c r="F687" s="36">
        <f t="shared" si="85"/>
        <v>1.6</v>
      </c>
    </row>
    <row r="688" spans="1:12" x14ac:dyDescent="0.3">
      <c r="A688" s="1">
        <v>3</v>
      </c>
      <c r="B688" s="33" t="s">
        <v>48</v>
      </c>
      <c r="C688" s="24"/>
      <c r="D688" s="26"/>
      <c r="E688" s="37"/>
      <c r="F688" s="37">
        <f>F689+F690+F691</f>
        <v>294</v>
      </c>
    </row>
    <row r="689" spans="1:12" x14ac:dyDescent="0.3">
      <c r="A689" s="1" t="s">
        <v>135</v>
      </c>
      <c r="B689" s="65" t="s">
        <v>93</v>
      </c>
      <c r="C689" s="18" t="s">
        <v>15</v>
      </c>
      <c r="D689" s="19">
        <v>5.9999999999999995E-4</v>
      </c>
      <c r="E689" s="36">
        <f>'VẬT LIỆU'!D5</f>
        <v>90000</v>
      </c>
      <c r="F689" s="36">
        <f t="shared" si="85"/>
        <v>53.999999999999993</v>
      </c>
    </row>
    <row r="690" spans="1:12" x14ac:dyDescent="0.3">
      <c r="A690" s="1" t="s">
        <v>135</v>
      </c>
      <c r="B690" s="65" t="s">
        <v>10</v>
      </c>
      <c r="C690" s="18" t="s">
        <v>16</v>
      </c>
      <c r="D690" s="19">
        <v>2.0000000000000001E-4</v>
      </c>
      <c r="E690" s="36">
        <f>'VẬT LIỆU'!D6</f>
        <v>900000</v>
      </c>
      <c r="F690" s="36">
        <f t="shared" si="85"/>
        <v>180</v>
      </c>
    </row>
    <row r="691" spans="1:12" x14ac:dyDescent="0.3">
      <c r="A691" s="1"/>
      <c r="B691" s="65" t="s">
        <v>116</v>
      </c>
      <c r="C691" s="18" t="s">
        <v>57</v>
      </c>
      <c r="D691" s="19">
        <v>0.06</v>
      </c>
      <c r="E691" s="36">
        <f>'VẬT LIỆU'!D8</f>
        <v>1000</v>
      </c>
      <c r="F691" s="36">
        <f t="shared" si="85"/>
        <v>60</v>
      </c>
    </row>
    <row r="692" spans="1:12" x14ac:dyDescent="0.3">
      <c r="A692" s="1" t="s">
        <v>39</v>
      </c>
      <c r="B692" s="33" t="s">
        <v>11</v>
      </c>
      <c r="C692" s="38" t="s">
        <v>12</v>
      </c>
      <c r="D692" s="33">
        <v>15</v>
      </c>
      <c r="E692" s="37"/>
      <c r="F692" s="37">
        <f>F679*D692%</f>
        <v>9940.5150000000012</v>
      </c>
      <c r="G692" s="107"/>
      <c r="H692" s="48"/>
      <c r="I692" s="46"/>
      <c r="L692" s="109"/>
    </row>
    <row r="693" spans="1:12" x14ac:dyDescent="0.3">
      <c r="A693" s="1"/>
      <c r="B693" s="49" t="s">
        <v>85</v>
      </c>
      <c r="C693" s="38"/>
      <c r="D693" s="33"/>
      <c r="E693" s="37"/>
      <c r="F693" s="37">
        <f>F679+F692</f>
        <v>76210.615000000005</v>
      </c>
      <c r="G693" s="107"/>
      <c r="H693" s="42"/>
      <c r="I693" s="42"/>
      <c r="J693" s="41"/>
      <c r="K693" s="41"/>
      <c r="L693" s="41"/>
    </row>
    <row r="694" spans="1:12" x14ac:dyDescent="0.3">
      <c r="A694" s="28"/>
      <c r="B694" s="30"/>
      <c r="C694" s="30"/>
      <c r="D694" s="30"/>
      <c r="E694" s="31"/>
      <c r="F694" s="31"/>
    </row>
    <row r="695" spans="1:12" x14ac:dyDescent="0.3">
      <c r="A695" s="28">
        <v>5</v>
      </c>
      <c r="B695" s="155" t="s">
        <v>159</v>
      </c>
      <c r="C695" s="155"/>
      <c r="D695" s="155"/>
      <c r="E695" s="155"/>
      <c r="F695" s="155"/>
    </row>
    <row r="696" spans="1:12" ht="19.5" x14ac:dyDescent="0.3">
      <c r="A696" s="28"/>
      <c r="B696" s="63" t="s">
        <v>115</v>
      </c>
      <c r="C696" s="30"/>
      <c r="D696" s="30"/>
      <c r="E696" s="31"/>
      <c r="F696" s="31"/>
    </row>
    <row r="697" spans="1:12" x14ac:dyDescent="0.3">
      <c r="A697" s="28"/>
      <c r="B697" s="30"/>
      <c r="C697" s="30"/>
      <c r="D697" s="30"/>
      <c r="E697" s="31"/>
      <c r="F697" s="31"/>
    </row>
    <row r="698" spans="1:12" ht="37.5" x14ac:dyDescent="0.3">
      <c r="A698" s="1"/>
      <c r="B698" s="24" t="s">
        <v>1</v>
      </c>
      <c r="C698" s="24" t="s">
        <v>72</v>
      </c>
      <c r="D698" s="24" t="s">
        <v>3</v>
      </c>
      <c r="E698" s="32" t="s">
        <v>36</v>
      </c>
      <c r="F698" s="32" t="s">
        <v>27</v>
      </c>
    </row>
    <row r="699" spans="1:12" x14ac:dyDescent="0.3">
      <c r="A699" s="1" t="s">
        <v>38</v>
      </c>
      <c r="B699" s="33" t="s">
        <v>4</v>
      </c>
      <c r="C699" s="34"/>
      <c r="D699" s="35"/>
      <c r="E699" s="36"/>
      <c r="F699" s="37">
        <f>F700+F705</f>
        <v>16850.7</v>
      </c>
    </row>
    <row r="700" spans="1:12" x14ac:dyDescent="0.3">
      <c r="A700" s="1">
        <v>1</v>
      </c>
      <c r="B700" s="33" t="s">
        <v>46</v>
      </c>
      <c r="C700" s="24"/>
      <c r="D700" s="24"/>
      <c r="E700" s="37"/>
      <c r="F700" s="37">
        <f>F701+F703</f>
        <v>15338.7</v>
      </c>
    </row>
    <row r="701" spans="1:12" ht="19.5" x14ac:dyDescent="0.3">
      <c r="A701" s="1" t="s">
        <v>141</v>
      </c>
      <c r="B701" s="95" t="s">
        <v>87</v>
      </c>
      <c r="C701" s="24"/>
      <c r="D701" s="24"/>
      <c r="E701" s="37"/>
      <c r="F701" s="36">
        <f>F702</f>
        <v>13338</v>
      </c>
    </row>
    <row r="702" spans="1:12" x14ac:dyDescent="0.3">
      <c r="A702" s="1" t="s">
        <v>135</v>
      </c>
      <c r="B702" s="65" t="s">
        <v>88</v>
      </c>
      <c r="C702" s="18" t="s">
        <v>89</v>
      </c>
      <c r="D702" s="19">
        <v>5.1999999999999998E-2</v>
      </c>
      <c r="E702" s="36">
        <f>'NHÂN CÔNG'!G7</f>
        <v>256500</v>
      </c>
      <c r="F702" s="36">
        <f>E702*D702</f>
        <v>13338</v>
      </c>
    </row>
    <row r="703" spans="1:12" ht="39" x14ac:dyDescent="0.3">
      <c r="A703" s="1" t="s">
        <v>142</v>
      </c>
      <c r="B703" s="95" t="s">
        <v>91</v>
      </c>
      <c r="C703" s="24"/>
      <c r="D703" s="26"/>
      <c r="E703" s="37"/>
      <c r="F703" s="36">
        <f>F704</f>
        <v>2000.6999999999998</v>
      </c>
    </row>
    <row r="704" spans="1:12" x14ac:dyDescent="0.3">
      <c r="A704" s="1" t="s">
        <v>135</v>
      </c>
      <c r="B704" s="65" t="s">
        <v>88</v>
      </c>
      <c r="C704" s="18" t="s">
        <v>89</v>
      </c>
      <c r="D704" s="19">
        <f>D702*15%</f>
        <v>7.7999999999999996E-3</v>
      </c>
      <c r="E704" s="36">
        <f>E702</f>
        <v>256500</v>
      </c>
      <c r="F704" s="36">
        <f t="shared" ref="F704:F707" si="86">E704*D704</f>
        <v>2000.6999999999998</v>
      </c>
    </row>
    <row r="705" spans="1:12" x14ac:dyDescent="0.3">
      <c r="A705" s="1">
        <v>2</v>
      </c>
      <c r="B705" s="33" t="s">
        <v>47</v>
      </c>
      <c r="C705" s="24"/>
      <c r="D705" s="26"/>
      <c r="E705" s="37"/>
      <c r="F705" s="37">
        <f>F706+F707</f>
        <v>1512</v>
      </c>
    </row>
    <row r="706" spans="1:12" x14ac:dyDescent="0.3">
      <c r="A706" s="1" t="s">
        <v>135</v>
      </c>
      <c r="B706" s="65" t="s">
        <v>6</v>
      </c>
      <c r="C706" s="18" t="s">
        <v>92</v>
      </c>
      <c r="D706" s="19">
        <v>4.2999999999999997E-2</v>
      </c>
      <c r="E706" s="36">
        <f>'THIẾT BỊ'!F7</f>
        <v>12000</v>
      </c>
      <c r="F706" s="36">
        <f t="shared" si="86"/>
        <v>516</v>
      </c>
    </row>
    <row r="707" spans="1:12" x14ac:dyDescent="0.3">
      <c r="A707" s="1" t="s">
        <v>135</v>
      </c>
      <c r="B707" s="65" t="s">
        <v>117</v>
      </c>
      <c r="C707" s="18" t="s">
        <v>92</v>
      </c>
      <c r="D707" s="19">
        <v>8.3000000000000004E-2</v>
      </c>
      <c r="E707" s="36">
        <f>'THIẾT BỊ'!F11</f>
        <v>12000</v>
      </c>
      <c r="F707" s="36">
        <f t="shared" si="86"/>
        <v>996</v>
      </c>
    </row>
    <row r="708" spans="1:12" x14ac:dyDescent="0.3">
      <c r="A708" s="1" t="s">
        <v>39</v>
      </c>
      <c r="B708" s="33" t="s">
        <v>11</v>
      </c>
      <c r="C708" s="38" t="s">
        <v>12</v>
      </c>
      <c r="D708" s="33">
        <v>15</v>
      </c>
      <c r="E708" s="37"/>
      <c r="F708" s="37">
        <f>F699*D708%</f>
        <v>2527.605</v>
      </c>
      <c r="G708" s="107"/>
      <c r="H708" s="48"/>
      <c r="I708" s="46"/>
      <c r="L708" s="109"/>
    </row>
    <row r="709" spans="1:12" x14ac:dyDescent="0.3">
      <c r="A709" s="1"/>
      <c r="B709" s="49" t="s">
        <v>85</v>
      </c>
      <c r="C709" s="38"/>
      <c r="D709" s="33"/>
      <c r="E709" s="37"/>
      <c r="F709" s="37">
        <f>F699+F708</f>
        <v>19378.305</v>
      </c>
      <c r="G709" s="107"/>
      <c r="H709" s="42"/>
      <c r="I709" s="42"/>
      <c r="J709" s="41"/>
      <c r="K709" s="41"/>
      <c r="L709" s="41"/>
    </row>
    <row r="710" spans="1:12" x14ac:dyDescent="0.3">
      <c r="A710" s="28"/>
      <c r="B710" s="30"/>
      <c r="C710" s="30"/>
      <c r="D710" s="30"/>
      <c r="E710" s="31"/>
      <c r="F710" s="31"/>
    </row>
    <row r="711" spans="1:12" x14ac:dyDescent="0.3">
      <c r="A711" s="28">
        <v>6</v>
      </c>
      <c r="B711" s="155" t="s">
        <v>160</v>
      </c>
      <c r="C711" s="155"/>
      <c r="D711" s="155"/>
      <c r="E711" s="155"/>
      <c r="F711" s="155"/>
    </row>
    <row r="712" spans="1:12" ht="19.5" x14ac:dyDescent="0.3">
      <c r="A712" s="28"/>
      <c r="B712" s="63" t="s">
        <v>115</v>
      </c>
      <c r="C712" s="30"/>
      <c r="D712" s="30"/>
      <c r="E712" s="31"/>
      <c r="F712" s="31"/>
    </row>
    <row r="713" spans="1:12" x14ac:dyDescent="0.3">
      <c r="A713" s="28"/>
      <c r="B713" s="30"/>
      <c r="C713" s="30"/>
      <c r="D713" s="30"/>
      <c r="E713" s="31"/>
      <c r="F713" s="31"/>
    </row>
    <row r="714" spans="1:12" ht="37.5" x14ac:dyDescent="0.3">
      <c r="A714" s="1"/>
      <c r="B714" s="24" t="s">
        <v>1</v>
      </c>
      <c r="C714" s="24" t="s">
        <v>72</v>
      </c>
      <c r="D714" s="24" t="s">
        <v>3</v>
      </c>
      <c r="E714" s="32" t="s">
        <v>36</v>
      </c>
      <c r="F714" s="32" t="s">
        <v>27</v>
      </c>
    </row>
    <row r="715" spans="1:12" x14ac:dyDescent="0.3">
      <c r="A715" s="1" t="s">
        <v>38</v>
      </c>
      <c r="B715" s="33" t="s">
        <v>4</v>
      </c>
      <c r="C715" s="34"/>
      <c r="D715" s="35"/>
      <c r="E715" s="36"/>
      <c r="F715" s="37">
        <f>F716+F723</f>
        <v>25342.6335</v>
      </c>
    </row>
    <row r="716" spans="1:12" x14ac:dyDescent="0.3">
      <c r="A716" s="1">
        <v>1</v>
      </c>
      <c r="B716" s="33" t="s">
        <v>46</v>
      </c>
      <c r="C716" s="24"/>
      <c r="D716" s="24"/>
      <c r="E716" s="37"/>
      <c r="F716" s="37">
        <f>F717+F720</f>
        <v>24382.6335</v>
      </c>
    </row>
    <row r="717" spans="1:12" ht="19.5" x14ac:dyDescent="0.3">
      <c r="A717" s="1" t="s">
        <v>141</v>
      </c>
      <c r="B717" s="95" t="s">
        <v>87</v>
      </c>
      <c r="C717" s="24"/>
      <c r="D717" s="24"/>
      <c r="E717" s="37"/>
      <c r="F717" s="36">
        <f>F718+F719</f>
        <v>21202.29</v>
      </c>
    </row>
    <row r="718" spans="1:12" x14ac:dyDescent="0.3">
      <c r="A718" s="1" t="s">
        <v>135</v>
      </c>
      <c r="B718" s="65" t="s">
        <v>88</v>
      </c>
      <c r="C718" s="18" t="s">
        <v>89</v>
      </c>
      <c r="D718" s="19">
        <v>0.08</v>
      </c>
      <c r="E718" s="36">
        <f>'NHÂN CÔNG'!G7</f>
        <v>256500</v>
      </c>
      <c r="F718" s="36">
        <f>E718*D718</f>
        <v>20520</v>
      </c>
    </row>
    <row r="719" spans="1:12" x14ac:dyDescent="0.3">
      <c r="A719" s="1" t="s">
        <v>135</v>
      </c>
      <c r="B719" s="65" t="s">
        <v>18</v>
      </c>
      <c r="C719" s="18" t="s">
        <v>89</v>
      </c>
      <c r="D719" s="19">
        <v>2E-3</v>
      </c>
      <c r="E719" s="36">
        <f>'NHÂN CÔNG'!G10</f>
        <v>341145</v>
      </c>
      <c r="F719" s="36">
        <f t="shared" ref="F719:F724" si="87">E719*D719</f>
        <v>682.29</v>
      </c>
    </row>
    <row r="720" spans="1:12" ht="39" x14ac:dyDescent="0.3">
      <c r="A720" s="1" t="s">
        <v>142</v>
      </c>
      <c r="B720" s="95" t="s">
        <v>91</v>
      </c>
      <c r="C720" s="24"/>
      <c r="D720" s="26"/>
      <c r="E720" s="37"/>
      <c r="F720" s="36">
        <f>F721+F722</f>
        <v>3180.3434999999999</v>
      </c>
    </row>
    <row r="721" spans="1:12" x14ac:dyDescent="0.3">
      <c r="A721" s="1" t="s">
        <v>135</v>
      </c>
      <c r="B721" s="65" t="s">
        <v>88</v>
      </c>
      <c r="C721" s="18" t="s">
        <v>89</v>
      </c>
      <c r="D721" s="19">
        <f>D718*15%</f>
        <v>1.2E-2</v>
      </c>
      <c r="E721" s="36">
        <f>E718</f>
        <v>256500</v>
      </c>
      <c r="F721" s="36">
        <f t="shared" si="87"/>
        <v>3078</v>
      </c>
    </row>
    <row r="722" spans="1:12" x14ac:dyDescent="0.3">
      <c r="A722" s="1" t="s">
        <v>135</v>
      </c>
      <c r="B722" s="65" t="s">
        <v>18</v>
      </c>
      <c r="C722" s="18" t="s">
        <v>89</v>
      </c>
      <c r="D722" s="19">
        <f>D719*15%</f>
        <v>2.9999999999999997E-4</v>
      </c>
      <c r="E722" s="36">
        <f>E719</f>
        <v>341145</v>
      </c>
      <c r="F722" s="36">
        <f t="shared" si="87"/>
        <v>102.34349999999999</v>
      </c>
    </row>
    <row r="723" spans="1:12" x14ac:dyDescent="0.3">
      <c r="A723" s="1">
        <v>2</v>
      </c>
      <c r="B723" s="33" t="s">
        <v>47</v>
      </c>
      <c r="C723" s="24"/>
      <c r="D723" s="26"/>
      <c r="E723" s="37"/>
      <c r="F723" s="37">
        <f>F724</f>
        <v>960</v>
      </c>
    </row>
    <row r="724" spans="1:12" x14ac:dyDescent="0.3">
      <c r="A724" s="1" t="s">
        <v>135</v>
      </c>
      <c r="B724" s="65" t="s">
        <v>6</v>
      </c>
      <c r="C724" s="18" t="s">
        <v>92</v>
      </c>
      <c r="D724" s="19">
        <v>0.08</v>
      </c>
      <c r="E724" s="36">
        <f>'THIẾT BỊ'!F7</f>
        <v>12000</v>
      </c>
      <c r="F724" s="36">
        <f t="shared" si="87"/>
        <v>960</v>
      </c>
    </row>
    <row r="725" spans="1:12" x14ac:dyDescent="0.3">
      <c r="A725" s="1" t="s">
        <v>39</v>
      </c>
      <c r="B725" s="33" t="s">
        <v>11</v>
      </c>
      <c r="C725" s="38" t="s">
        <v>12</v>
      </c>
      <c r="D725" s="33">
        <v>15</v>
      </c>
      <c r="E725" s="37"/>
      <c r="F725" s="37">
        <f>F715*15%</f>
        <v>3801.3950249999998</v>
      </c>
      <c r="G725" s="107"/>
      <c r="H725" s="48"/>
      <c r="I725" s="46"/>
      <c r="L725" s="109"/>
    </row>
    <row r="726" spans="1:12" x14ac:dyDescent="0.3">
      <c r="A726" s="1"/>
      <c r="B726" s="49" t="s">
        <v>85</v>
      </c>
      <c r="C726" s="38"/>
      <c r="D726" s="33"/>
      <c r="E726" s="37"/>
      <c r="F726" s="37">
        <f>F715+F725</f>
        <v>29144.028525000002</v>
      </c>
      <c r="G726" s="107"/>
      <c r="H726" s="42"/>
      <c r="I726" s="42"/>
      <c r="J726" s="41"/>
      <c r="K726" s="41"/>
      <c r="L726" s="41"/>
    </row>
    <row r="727" spans="1:12" x14ac:dyDescent="0.3">
      <c r="A727" s="28"/>
      <c r="B727" s="30"/>
      <c r="C727" s="30"/>
      <c r="D727" s="30"/>
      <c r="E727" s="31"/>
      <c r="F727" s="31"/>
    </row>
    <row r="728" spans="1:12" x14ac:dyDescent="0.3">
      <c r="A728" s="28">
        <v>7</v>
      </c>
      <c r="B728" s="155" t="s">
        <v>161</v>
      </c>
      <c r="C728" s="155"/>
      <c r="D728" s="155"/>
      <c r="E728" s="155"/>
      <c r="F728" s="155"/>
    </row>
    <row r="729" spans="1:12" ht="19.5" x14ac:dyDescent="0.3">
      <c r="A729" s="28"/>
      <c r="B729" s="63" t="s">
        <v>115</v>
      </c>
      <c r="C729" s="30"/>
      <c r="D729" s="30"/>
      <c r="E729" s="31"/>
      <c r="F729" s="31"/>
    </row>
    <row r="730" spans="1:12" x14ac:dyDescent="0.3">
      <c r="A730" s="28"/>
      <c r="B730" s="30"/>
      <c r="C730" s="30"/>
      <c r="D730" s="30"/>
      <c r="E730" s="31"/>
      <c r="F730" s="31"/>
    </row>
    <row r="731" spans="1:12" ht="37.5" x14ac:dyDescent="0.3">
      <c r="A731" s="1"/>
      <c r="B731" s="24" t="s">
        <v>1</v>
      </c>
      <c r="C731" s="24" t="s">
        <v>302</v>
      </c>
      <c r="D731" s="24" t="s">
        <v>3</v>
      </c>
      <c r="E731" s="32" t="s">
        <v>36</v>
      </c>
      <c r="F731" s="32" t="s">
        <v>27</v>
      </c>
    </row>
    <row r="732" spans="1:12" x14ac:dyDescent="0.3">
      <c r="A732" s="1" t="s">
        <v>38</v>
      </c>
      <c r="B732" s="33" t="s">
        <v>4</v>
      </c>
      <c r="C732" s="34"/>
      <c r="D732" s="35"/>
      <c r="E732" s="36"/>
      <c r="F732" s="37">
        <f>F733+F740</f>
        <v>11747.441999999999</v>
      </c>
    </row>
    <row r="733" spans="1:12" x14ac:dyDescent="0.3">
      <c r="A733" s="1">
        <v>1</v>
      </c>
      <c r="B733" s="33" t="s">
        <v>46</v>
      </c>
      <c r="C733" s="24"/>
      <c r="D733" s="24"/>
      <c r="E733" s="37"/>
      <c r="F733" s="37">
        <f>F734+F737</f>
        <v>11303.441999999999</v>
      </c>
    </row>
    <row r="734" spans="1:12" ht="19.5" x14ac:dyDescent="0.3">
      <c r="A734" s="1" t="s">
        <v>141</v>
      </c>
      <c r="B734" s="95" t="s">
        <v>87</v>
      </c>
      <c r="C734" s="24"/>
      <c r="D734" s="24"/>
      <c r="E734" s="37"/>
      <c r="F734" s="36">
        <f>F735+F736</f>
        <v>9829.08</v>
      </c>
    </row>
    <row r="735" spans="1:12" x14ac:dyDescent="0.3">
      <c r="A735" s="1" t="s">
        <v>135</v>
      </c>
      <c r="B735" s="65" t="s">
        <v>88</v>
      </c>
      <c r="C735" s="18" t="s">
        <v>89</v>
      </c>
      <c r="D735" s="19">
        <v>3.3000000000000002E-2</v>
      </c>
      <c r="E735" s="36">
        <f>'NHÂN CÔNG'!G7</f>
        <v>256500</v>
      </c>
      <c r="F735" s="36">
        <f>E735*D735</f>
        <v>8464.5</v>
      </c>
    </row>
    <row r="736" spans="1:12" x14ac:dyDescent="0.3">
      <c r="A736" s="1" t="s">
        <v>135</v>
      </c>
      <c r="B736" s="65" t="s">
        <v>18</v>
      </c>
      <c r="C736" s="18" t="s">
        <v>89</v>
      </c>
      <c r="D736" s="19">
        <v>4.0000000000000001E-3</v>
      </c>
      <c r="E736" s="36">
        <f>'NHÂN CÔNG'!G10</f>
        <v>341145</v>
      </c>
      <c r="F736" s="36">
        <f t="shared" ref="F736:F739" si="88">E736*D736</f>
        <v>1364.58</v>
      </c>
    </row>
    <row r="737" spans="1:12" ht="39" x14ac:dyDescent="0.3">
      <c r="A737" s="1" t="s">
        <v>142</v>
      </c>
      <c r="B737" s="95" t="s">
        <v>91</v>
      </c>
      <c r="C737" s="24"/>
      <c r="D737" s="26"/>
      <c r="E737" s="37"/>
      <c r="F737" s="36">
        <f>F738+F739</f>
        <v>1474.3620000000001</v>
      </c>
    </row>
    <row r="738" spans="1:12" x14ac:dyDescent="0.3">
      <c r="A738" s="1" t="s">
        <v>135</v>
      </c>
      <c r="B738" s="65" t="s">
        <v>88</v>
      </c>
      <c r="C738" s="18" t="s">
        <v>89</v>
      </c>
      <c r="D738" s="19">
        <f>D735*15%</f>
        <v>4.9500000000000004E-3</v>
      </c>
      <c r="E738" s="36">
        <f>E735</f>
        <v>256500</v>
      </c>
      <c r="F738" s="36">
        <f t="shared" si="88"/>
        <v>1269.6750000000002</v>
      </c>
    </row>
    <row r="739" spans="1:12" x14ac:dyDescent="0.3">
      <c r="A739" s="1" t="s">
        <v>135</v>
      </c>
      <c r="B739" s="65" t="s">
        <v>18</v>
      </c>
      <c r="C739" s="18" t="s">
        <v>89</v>
      </c>
      <c r="D739" s="19">
        <f>D736*15%</f>
        <v>5.9999999999999995E-4</v>
      </c>
      <c r="E739" s="36">
        <f>E736</f>
        <v>341145</v>
      </c>
      <c r="F739" s="36">
        <f t="shared" si="88"/>
        <v>204.68699999999998</v>
      </c>
    </row>
    <row r="740" spans="1:12" x14ac:dyDescent="0.3">
      <c r="A740" s="1">
        <v>2</v>
      </c>
      <c r="B740" s="33" t="s">
        <v>47</v>
      </c>
      <c r="C740" s="24"/>
      <c r="D740" s="26"/>
      <c r="E740" s="37"/>
      <c r="F740" s="37">
        <f>F741</f>
        <v>444</v>
      </c>
    </row>
    <row r="741" spans="1:12" x14ac:dyDescent="0.3">
      <c r="A741" s="1" t="s">
        <v>135</v>
      </c>
      <c r="B741" s="65" t="s">
        <v>6</v>
      </c>
      <c r="C741" s="18" t="s">
        <v>92</v>
      </c>
      <c r="D741" s="19">
        <v>3.6999999999999998E-2</v>
      </c>
      <c r="E741" s="36">
        <f>'THIẾT BỊ'!F7</f>
        <v>12000</v>
      </c>
      <c r="F741" s="36">
        <f>E741*D741</f>
        <v>444</v>
      </c>
    </row>
    <row r="742" spans="1:12" x14ac:dyDescent="0.3">
      <c r="A742" s="1" t="s">
        <v>39</v>
      </c>
      <c r="B742" s="33" t="s">
        <v>11</v>
      </c>
      <c r="C742" s="38" t="s">
        <v>12</v>
      </c>
      <c r="D742" s="33">
        <v>15</v>
      </c>
      <c r="E742" s="37"/>
      <c r="F742" s="37">
        <f>F732*D742%</f>
        <v>1762.1162999999999</v>
      </c>
      <c r="G742" s="107"/>
      <c r="H742" s="48"/>
      <c r="I742" s="46"/>
      <c r="L742" s="109"/>
    </row>
    <row r="743" spans="1:12" x14ac:dyDescent="0.3">
      <c r="A743" s="1"/>
      <c r="B743" s="49" t="s">
        <v>85</v>
      </c>
      <c r="C743" s="38"/>
      <c r="D743" s="33"/>
      <c r="E743" s="37"/>
      <c r="F743" s="37">
        <f>F732+F742</f>
        <v>13509.558299999999</v>
      </c>
      <c r="G743" s="107"/>
      <c r="H743" s="42"/>
      <c r="I743" s="42"/>
      <c r="J743" s="41"/>
      <c r="K743" s="41"/>
      <c r="L743" s="41"/>
    </row>
    <row r="744" spans="1:12" x14ac:dyDescent="0.3">
      <c r="A744" s="28"/>
      <c r="B744" s="30"/>
      <c r="C744" s="30"/>
      <c r="D744" s="30"/>
      <c r="E744" s="31"/>
      <c r="F744" s="31"/>
    </row>
    <row r="745" spans="1:12" x14ac:dyDescent="0.3">
      <c r="A745" s="28" t="s">
        <v>202</v>
      </c>
      <c r="B745" s="155" t="s">
        <v>276</v>
      </c>
      <c r="C745" s="155"/>
      <c r="D745" s="155"/>
      <c r="E745" s="155"/>
      <c r="F745" s="155"/>
    </row>
    <row r="746" spans="1:12" x14ac:dyDescent="0.3">
      <c r="A746" s="28">
        <v>1</v>
      </c>
      <c r="B746" s="155" t="s">
        <v>162</v>
      </c>
      <c r="C746" s="155"/>
      <c r="D746" s="155"/>
      <c r="E746" s="155"/>
      <c r="F746" s="155"/>
    </row>
    <row r="747" spans="1:12" ht="19.5" x14ac:dyDescent="0.3">
      <c r="A747" s="28"/>
      <c r="B747" s="63" t="s">
        <v>118</v>
      </c>
      <c r="C747" s="30"/>
      <c r="D747" s="30"/>
      <c r="E747" s="31"/>
      <c r="F747" s="31"/>
    </row>
    <row r="748" spans="1:12" x14ac:dyDescent="0.3">
      <c r="A748" s="28"/>
      <c r="B748" s="30"/>
      <c r="C748" s="30"/>
      <c r="D748" s="30"/>
      <c r="E748" s="31"/>
      <c r="F748" s="31"/>
    </row>
    <row r="749" spans="1:12" ht="37.5" x14ac:dyDescent="0.3">
      <c r="A749" s="1"/>
      <c r="B749" s="24" t="s">
        <v>1</v>
      </c>
      <c r="C749" s="24" t="s">
        <v>72</v>
      </c>
      <c r="D749" s="24" t="s">
        <v>3</v>
      </c>
      <c r="E749" s="32" t="s">
        <v>36</v>
      </c>
      <c r="F749" s="32" t="s">
        <v>27</v>
      </c>
    </row>
    <row r="750" spans="1:12" x14ac:dyDescent="0.3">
      <c r="A750" s="1" t="s">
        <v>38</v>
      </c>
      <c r="B750" s="33" t="s">
        <v>4</v>
      </c>
      <c r="C750" s="34"/>
      <c r="D750" s="35"/>
      <c r="E750" s="36"/>
      <c r="F750" s="37">
        <f>F751+F758+F761</f>
        <v>364308756.05000001</v>
      </c>
    </row>
    <row r="751" spans="1:12" x14ac:dyDescent="0.3">
      <c r="A751" s="1">
        <v>1</v>
      </c>
      <c r="B751" s="33" t="s">
        <v>46</v>
      </c>
      <c r="C751" s="24"/>
      <c r="D751" s="24"/>
      <c r="E751" s="37"/>
      <c r="F751" s="37">
        <f>F752+F755</f>
        <v>338087956.05000001</v>
      </c>
    </row>
    <row r="752" spans="1:12" ht="19.5" x14ac:dyDescent="0.3">
      <c r="A752" s="1" t="s">
        <v>141</v>
      </c>
      <c r="B752" s="95" t="s">
        <v>87</v>
      </c>
      <c r="C752" s="24"/>
      <c r="D752" s="24"/>
      <c r="E752" s="37"/>
      <c r="F752" s="36">
        <f>F753+F754</f>
        <v>293989527</v>
      </c>
    </row>
    <row r="753" spans="1:12" x14ac:dyDescent="0.3">
      <c r="A753" s="1" t="s">
        <v>135</v>
      </c>
      <c r="B753" s="65" t="s">
        <v>88</v>
      </c>
      <c r="C753" s="18" t="s">
        <v>89</v>
      </c>
      <c r="D753" s="19">
        <v>342.3</v>
      </c>
      <c r="E753" s="36">
        <f>'NHÂN CÔNG'!G7</f>
        <v>256500</v>
      </c>
      <c r="F753" s="36">
        <f>E753*D753</f>
        <v>87799950</v>
      </c>
    </row>
    <row r="754" spans="1:12" x14ac:dyDescent="0.3">
      <c r="A754" s="1" t="s">
        <v>135</v>
      </c>
      <c r="B754" s="65" t="s">
        <v>90</v>
      </c>
      <c r="C754" s="18" t="s">
        <v>89</v>
      </c>
      <c r="D754" s="19">
        <v>658.9</v>
      </c>
      <c r="E754" s="36">
        <f>'NHÂN CÔNG'!G9</f>
        <v>312930</v>
      </c>
      <c r="F754" s="36">
        <f t="shared" ref="F754:F763" si="89">E754*D754</f>
        <v>206189577</v>
      </c>
    </row>
    <row r="755" spans="1:12" ht="39" x14ac:dyDescent="0.3">
      <c r="A755" s="1" t="s">
        <v>142</v>
      </c>
      <c r="B755" s="95" t="s">
        <v>91</v>
      </c>
      <c r="C755" s="24"/>
      <c r="D755" s="26"/>
      <c r="E755" s="37"/>
      <c r="F755" s="36">
        <f>F756+F757</f>
        <v>44098429.049999997</v>
      </c>
    </row>
    <row r="756" spans="1:12" x14ac:dyDescent="0.3">
      <c r="A756" s="1" t="s">
        <v>135</v>
      </c>
      <c r="B756" s="65" t="s">
        <v>88</v>
      </c>
      <c r="C756" s="18" t="s">
        <v>89</v>
      </c>
      <c r="D756" s="19">
        <f>D753*15%</f>
        <v>51.344999999999999</v>
      </c>
      <c r="E756" s="36">
        <f>E753</f>
        <v>256500</v>
      </c>
      <c r="F756" s="36">
        <f t="shared" si="89"/>
        <v>13169992.5</v>
      </c>
    </row>
    <row r="757" spans="1:12" x14ac:dyDescent="0.3">
      <c r="A757" s="1" t="s">
        <v>135</v>
      </c>
      <c r="B757" s="65" t="s">
        <v>90</v>
      </c>
      <c r="C757" s="18" t="s">
        <v>89</v>
      </c>
      <c r="D757" s="19">
        <f>D754*15%</f>
        <v>98.834999999999994</v>
      </c>
      <c r="E757" s="36">
        <f>E754</f>
        <v>312930</v>
      </c>
      <c r="F757" s="36">
        <f t="shared" si="89"/>
        <v>30928436.549999997</v>
      </c>
    </row>
    <row r="758" spans="1:12" x14ac:dyDescent="0.3">
      <c r="A758" s="1">
        <v>2</v>
      </c>
      <c r="B758" s="33" t="s">
        <v>47</v>
      </c>
      <c r="C758" s="24"/>
      <c r="D758" s="26"/>
      <c r="E758" s="37"/>
      <c r="F758" s="37">
        <f>F759+F760</f>
        <v>10308800</v>
      </c>
    </row>
    <row r="759" spans="1:12" x14ac:dyDescent="0.3">
      <c r="A759" s="1" t="s">
        <v>135</v>
      </c>
      <c r="B759" s="65" t="s">
        <v>6</v>
      </c>
      <c r="C759" s="18" t="s">
        <v>92</v>
      </c>
      <c r="D759" s="19">
        <v>853.4</v>
      </c>
      <c r="E759" s="36">
        <f>'THIẾT BỊ'!F7</f>
        <v>12000</v>
      </c>
      <c r="F759" s="36">
        <f t="shared" si="89"/>
        <v>10240800</v>
      </c>
    </row>
    <row r="760" spans="1:12" x14ac:dyDescent="0.3">
      <c r="A760" s="1" t="s">
        <v>135</v>
      </c>
      <c r="B760" s="65" t="s">
        <v>7</v>
      </c>
      <c r="C760" s="18" t="s">
        <v>92</v>
      </c>
      <c r="D760" s="19">
        <v>8.5</v>
      </c>
      <c r="E760" s="36">
        <f>'THIẾT BỊ'!F8</f>
        <v>8000</v>
      </c>
      <c r="F760" s="36">
        <f t="shared" si="89"/>
        <v>68000</v>
      </c>
    </row>
    <row r="761" spans="1:12" x14ac:dyDescent="0.3">
      <c r="A761" s="1">
        <v>3</v>
      </c>
      <c r="B761" s="33" t="s">
        <v>48</v>
      </c>
      <c r="C761" s="24"/>
      <c r="D761" s="26"/>
      <c r="E761" s="37"/>
      <c r="F761" s="37">
        <f>F762+F763</f>
        <v>15912000</v>
      </c>
    </row>
    <row r="762" spans="1:12" x14ac:dyDescent="0.3">
      <c r="A762" s="1" t="s">
        <v>135</v>
      </c>
      <c r="B762" s="65" t="s">
        <v>93</v>
      </c>
      <c r="C762" s="18" t="s">
        <v>15</v>
      </c>
      <c r="D762" s="19">
        <v>40.799999999999997</v>
      </c>
      <c r="E762" s="36">
        <f>'VẬT LIỆU'!D5</f>
        <v>90000</v>
      </c>
      <c r="F762" s="36">
        <f t="shared" si="89"/>
        <v>3671999.9999999995</v>
      </c>
    </row>
    <row r="763" spans="1:12" x14ac:dyDescent="0.3">
      <c r="A763" s="1" t="s">
        <v>135</v>
      </c>
      <c r="B763" s="65" t="s">
        <v>10</v>
      </c>
      <c r="C763" s="18" t="s">
        <v>16</v>
      </c>
      <c r="D763" s="19">
        <v>13.6</v>
      </c>
      <c r="E763" s="36">
        <f>'VẬT LIỆU'!D6</f>
        <v>900000</v>
      </c>
      <c r="F763" s="36">
        <f t="shared" si="89"/>
        <v>12240000</v>
      </c>
    </row>
    <row r="764" spans="1:12" x14ac:dyDescent="0.3">
      <c r="A764" s="1" t="s">
        <v>39</v>
      </c>
      <c r="B764" s="33" t="s">
        <v>11</v>
      </c>
      <c r="C764" s="38" t="s">
        <v>12</v>
      </c>
      <c r="D764" s="33">
        <v>15</v>
      </c>
      <c r="E764" s="37"/>
      <c r="F764" s="37">
        <f>F750*D764%</f>
        <v>54646313.407499999</v>
      </c>
      <c r="G764" s="107"/>
      <c r="H764" s="48"/>
      <c r="I764" s="46"/>
      <c r="L764" s="109"/>
    </row>
    <row r="765" spans="1:12" x14ac:dyDescent="0.3">
      <c r="A765" s="1"/>
      <c r="B765" s="49" t="s">
        <v>85</v>
      </c>
      <c r="C765" s="38"/>
      <c r="D765" s="33"/>
      <c r="E765" s="37"/>
      <c r="F765" s="37">
        <f>F750+F764</f>
        <v>418955069.45749998</v>
      </c>
      <c r="G765" s="107"/>
      <c r="H765" s="42"/>
      <c r="I765" s="42"/>
      <c r="J765" s="41"/>
      <c r="K765" s="41"/>
      <c r="L765" s="41"/>
    </row>
    <row r="766" spans="1:12" x14ac:dyDescent="0.3">
      <c r="A766" s="28"/>
      <c r="B766" s="64"/>
      <c r="C766" s="30"/>
      <c r="D766" s="30"/>
      <c r="E766" s="31"/>
      <c r="F766" s="31"/>
    </row>
    <row r="767" spans="1:12" x14ac:dyDescent="0.3">
      <c r="A767" s="28">
        <v>2</v>
      </c>
      <c r="B767" s="155" t="s">
        <v>163</v>
      </c>
      <c r="C767" s="155"/>
      <c r="D767" s="155"/>
      <c r="E767" s="155"/>
      <c r="F767" s="155"/>
    </row>
    <row r="768" spans="1:12" ht="19.5" x14ac:dyDescent="0.3">
      <c r="A768" s="28"/>
      <c r="B768" s="63" t="s">
        <v>119</v>
      </c>
      <c r="C768" s="30"/>
      <c r="D768" s="30"/>
      <c r="E768" s="31"/>
      <c r="F768" s="31"/>
    </row>
    <row r="769" spans="1:6" x14ac:dyDescent="0.3">
      <c r="A769" s="28"/>
      <c r="B769" s="70"/>
      <c r="C769" s="30"/>
      <c r="D769" s="30"/>
      <c r="E769" s="31"/>
      <c r="F769" s="31"/>
    </row>
    <row r="770" spans="1:6" ht="37.5" x14ac:dyDescent="0.3">
      <c r="A770" s="1"/>
      <c r="B770" s="24" t="s">
        <v>1</v>
      </c>
      <c r="C770" s="24" t="s">
        <v>72</v>
      </c>
      <c r="D770" s="24" t="s">
        <v>3</v>
      </c>
      <c r="E770" s="32" t="s">
        <v>36</v>
      </c>
      <c r="F770" s="32" t="s">
        <v>27</v>
      </c>
    </row>
    <row r="771" spans="1:6" x14ac:dyDescent="0.3">
      <c r="A771" s="1" t="s">
        <v>38</v>
      </c>
      <c r="B771" s="33" t="s">
        <v>4</v>
      </c>
      <c r="C771" s="34"/>
      <c r="D771" s="35"/>
      <c r="E771" s="36"/>
      <c r="F771" s="37">
        <f>F772+F779+F782</f>
        <v>21890365.75</v>
      </c>
    </row>
    <row r="772" spans="1:6" x14ac:dyDescent="0.3">
      <c r="A772" s="1">
        <v>1</v>
      </c>
      <c r="B772" s="33" t="s">
        <v>46</v>
      </c>
      <c r="C772" s="24"/>
      <c r="D772" s="24"/>
      <c r="E772" s="37"/>
      <c r="F772" s="37">
        <f>F773+F776</f>
        <v>17276685.75</v>
      </c>
    </row>
    <row r="773" spans="1:6" ht="19.5" x14ac:dyDescent="0.3">
      <c r="A773" s="1" t="s">
        <v>141</v>
      </c>
      <c r="B773" s="95" t="s">
        <v>87</v>
      </c>
      <c r="C773" s="24"/>
      <c r="D773" s="24"/>
      <c r="E773" s="37"/>
      <c r="F773" s="36">
        <f>F774+F775</f>
        <v>15023205</v>
      </c>
    </row>
    <row r="774" spans="1:6" x14ac:dyDescent="0.3">
      <c r="A774" s="1" t="s">
        <v>135</v>
      </c>
      <c r="B774" s="65" t="s">
        <v>88</v>
      </c>
      <c r="C774" s="18" t="s">
        <v>89</v>
      </c>
      <c r="D774" s="19">
        <v>20.75</v>
      </c>
      <c r="E774" s="36">
        <f>'NHÂN CÔNG'!G7</f>
        <v>256500</v>
      </c>
      <c r="F774" s="36">
        <f>E774*D774</f>
        <v>5322375</v>
      </c>
    </row>
    <row r="775" spans="1:6" x14ac:dyDescent="0.3">
      <c r="A775" s="1" t="s">
        <v>135</v>
      </c>
      <c r="B775" s="65" t="s">
        <v>90</v>
      </c>
      <c r="C775" s="18" t="s">
        <v>89</v>
      </c>
      <c r="D775" s="19">
        <v>31</v>
      </c>
      <c r="E775" s="36">
        <f>'NHÂN CÔNG'!G9</f>
        <v>312930</v>
      </c>
      <c r="F775" s="36">
        <f t="shared" ref="F775:F784" si="90">E775*D775</f>
        <v>9700830</v>
      </c>
    </row>
    <row r="776" spans="1:6" ht="39" x14ac:dyDescent="0.3">
      <c r="A776" s="1" t="s">
        <v>142</v>
      </c>
      <c r="B776" s="95" t="s">
        <v>91</v>
      </c>
      <c r="C776" s="24"/>
      <c r="D776" s="26"/>
      <c r="E776" s="37"/>
      <c r="F776" s="36">
        <f>F777+F778</f>
        <v>2253480.75</v>
      </c>
    </row>
    <row r="777" spans="1:6" x14ac:dyDescent="0.3">
      <c r="A777" s="1" t="s">
        <v>135</v>
      </c>
      <c r="B777" s="65" t="s">
        <v>88</v>
      </c>
      <c r="C777" s="18" t="s">
        <v>89</v>
      </c>
      <c r="D777" s="19">
        <f>D774*15%</f>
        <v>3.1124999999999998</v>
      </c>
      <c r="E777" s="36">
        <f>E774</f>
        <v>256500</v>
      </c>
      <c r="F777" s="36">
        <f t="shared" si="90"/>
        <v>798356.25</v>
      </c>
    </row>
    <row r="778" spans="1:6" x14ac:dyDescent="0.3">
      <c r="A778" s="1" t="s">
        <v>135</v>
      </c>
      <c r="B778" s="65" t="s">
        <v>90</v>
      </c>
      <c r="C778" s="18" t="s">
        <v>89</v>
      </c>
      <c r="D778" s="19">
        <f>D775*15%</f>
        <v>4.6499999999999995</v>
      </c>
      <c r="E778" s="36">
        <f>E775</f>
        <v>312930</v>
      </c>
      <c r="F778" s="36">
        <f t="shared" si="90"/>
        <v>1455124.4999999998</v>
      </c>
    </row>
    <row r="779" spans="1:6" x14ac:dyDescent="0.3">
      <c r="A779" s="1">
        <v>2</v>
      </c>
      <c r="B779" s="33" t="s">
        <v>47</v>
      </c>
      <c r="C779" s="24"/>
      <c r="D779" s="26"/>
      <c r="E779" s="37"/>
      <c r="F779" s="37">
        <f>F780+F781</f>
        <v>518680</v>
      </c>
    </row>
    <row r="780" spans="1:6" x14ac:dyDescent="0.3">
      <c r="A780" s="1" t="s">
        <v>135</v>
      </c>
      <c r="B780" s="65" t="s">
        <v>6</v>
      </c>
      <c r="C780" s="18" t="s">
        <v>92</v>
      </c>
      <c r="D780" s="19">
        <v>41.75</v>
      </c>
      <c r="E780" s="36">
        <f>'THIẾT BỊ'!F7</f>
        <v>12000</v>
      </c>
      <c r="F780" s="36">
        <f t="shared" si="90"/>
        <v>501000</v>
      </c>
    </row>
    <row r="781" spans="1:6" x14ac:dyDescent="0.3">
      <c r="A781" s="1" t="s">
        <v>135</v>
      </c>
      <c r="B781" s="65" t="s">
        <v>7</v>
      </c>
      <c r="C781" s="18" t="s">
        <v>92</v>
      </c>
      <c r="D781" s="19">
        <v>2.21</v>
      </c>
      <c r="E781" s="36">
        <f>'THIẾT BỊ'!F8</f>
        <v>8000</v>
      </c>
      <c r="F781" s="36">
        <f t="shared" si="90"/>
        <v>17680</v>
      </c>
    </row>
    <row r="782" spans="1:6" x14ac:dyDescent="0.3">
      <c r="A782" s="1">
        <v>3</v>
      </c>
      <c r="B782" s="33" t="s">
        <v>48</v>
      </c>
      <c r="C782" s="24"/>
      <c r="D782" s="26"/>
      <c r="E782" s="37"/>
      <c r="F782" s="37">
        <f>F783+F784</f>
        <v>4095000</v>
      </c>
    </row>
    <row r="783" spans="1:6" x14ac:dyDescent="0.3">
      <c r="A783" s="1" t="s">
        <v>135</v>
      </c>
      <c r="B783" s="65" t="s">
        <v>93</v>
      </c>
      <c r="C783" s="18" t="s">
        <v>15</v>
      </c>
      <c r="D783" s="19">
        <v>10.5</v>
      </c>
      <c r="E783" s="36">
        <f>'VẬT LIỆU'!D5</f>
        <v>90000</v>
      </c>
      <c r="F783" s="36">
        <f t="shared" si="90"/>
        <v>945000</v>
      </c>
    </row>
    <row r="784" spans="1:6" x14ac:dyDescent="0.3">
      <c r="A784" s="1" t="s">
        <v>135</v>
      </c>
      <c r="B784" s="65" t="s">
        <v>10</v>
      </c>
      <c r="C784" s="18" t="s">
        <v>16</v>
      </c>
      <c r="D784" s="19">
        <v>3.5</v>
      </c>
      <c r="E784" s="36">
        <f>'VẬT LIỆU'!D6</f>
        <v>900000</v>
      </c>
      <c r="F784" s="36">
        <f t="shared" si="90"/>
        <v>3150000</v>
      </c>
    </row>
    <row r="785" spans="1:12" x14ac:dyDescent="0.3">
      <c r="A785" s="1" t="s">
        <v>39</v>
      </c>
      <c r="B785" s="33" t="s">
        <v>11</v>
      </c>
      <c r="C785" s="38" t="s">
        <v>12</v>
      </c>
      <c r="D785" s="33">
        <v>15</v>
      </c>
      <c r="E785" s="37"/>
      <c r="F785" s="37">
        <f>F771*D785%</f>
        <v>3283554.8624999998</v>
      </c>
      <c r="G785" s="107"/>
      <c r="H785" s="48"/>
      <c r="I785" s="46"/>
      <c r="L785" s="109"/>
    </row>
    <row r="786" spans="1:12" x14ac:dyDescent="0.3">
      <c r="A786" s="1"/>
      <c r="B786" s="49" t="s">
        <v>85</v>
      </c>
      <c r="C786" s="38"/>
      <c r="D786" s="33"/>
      <c r="E786" s="37"/>
      <c r="F786" s="37">
        <f>F771+F785</f>
        <v>25173920.612500001</v>
      </c>
      <c r="G786" s="107"/>
      <c r="H786" s="42"/>
      <c r="I786" s="42"/>
      <c r="J786" s="41"/>
      <c r="K786" s="41"/>
      <c r="L786" s="41"/>
    </row>
    <row r="787" spans="1:12" x14ac:dyDescent="0.3">
      <c r="A787" s="28"/>
      <c r="B787" s="23"/>
      <c r="C787" s="30"/>
      <c r="D787" s="30"/>
      <c r="E787" s="31"/>
      <c r="F787" s="31"/>
    </row>
    <row r="788" spans="1:12" x14ac:dyDescent="0.3">
      <c r="A788" s="28">
        <v>3</v>
      </c>
      <c r="B788" s="155" t="s">
        <v>164</v>
      </c>
      <c r="C788" s="155"/>
      <c r="D788" s="155"/>
      <c r="E788" s="155"/>
      <c r="F788" s="155"/>
    </row>
    <row r="789" spans="1:12" ht="19.5" x14ac:dyDescent="0.3">
      <c r="A789" s="28"/>
      <c r="B789" s="63" t="s">
        <v>119</v>
      </c>
      <c r="C789" s="30"/>
      <c r="D789" s="30"/>
      <c r="E789" s="31"/>
      <c r="F789" s="31"/>
    </row>
    <row r="790" spans="1:12" x14ac:dyDescent="0.3">
      <c r="A790" s="28"/>
      <c r="B790" s="30"/>
      <c r="C790" s="30"/>
      <c r="D790" s="30"/>
      <c r="E790" s="31"/>
      <c r="F790" s="31"/>
    </row>
    <row r="791" spans="1:12" ht="37.5" x14ac:dyDescent="0.3">
      <c r="A791" s="1"/>
      <c r="B791" s="24" t="s">
        <v>1</v>
      </c>
      <c r="C791" s="24" t="s">
        <v>72</v>
      </c>
      <c r="D791" s="24" t="s">
        <v>3</v>
      </c>
      <c r="E791" s="32" t="s">
        <v>36</v>
      </c>
      <c r="F791" s="32" t="s">
        <v>27</v>
      </c>
    </row>
    <row r="792" spans="1:12" x14ac:dyDescent="0.3">
      <c r="A792" s="1" t="s">
        <v>38</v>
      </c>
      <c r="B792" s="33" t="s">
        <v>4</v>
      </c>
      <c r="C792" s="34"/>
      <c r="D792" s="35"/>
      <c r="E792" s="36"/>
      <c r="F792" s="37">
        <f>F793+F800+F803</f>
        <v>5957142.5350000001</v>
      </c>
    </row>
    <row r="793" spans="1:12" x14ac:dyDescent="0.3">
      <c r="A793" s="1">
        <v>1</v>
      </c>
      <c r="B793" s="33" t="s">
        <v>46</v>
      </c>
      <c r="C793" s="24"/>
      <c r="D793" s="24"/>
      <c r="E793" s="37"/>
      <c r="F793" s="37">
        <f>F794+F797</f>
        <v>5716202.5350000001</v>
      </c>
    </row>
    <row r="794" spans="1:12" ht="19.5" x14ac:dyDescent="0.3">
      <c r="A794" s="1" t="s">
        <v>141</v>
      </c>
      <c r="B794" s="95" t="s">
        <v>87</v>
      </c>
      <c r="C794" s="24"/>
      <c r="D794" s="24"/>
      <c r="E794" s="37"/>
      <c r="F794" s="36">
        <f>F795+F796</f>
        <v>4970610.9000000004</v>
      </c>
    </row>
    <row r="795" spans="1:12" x14ac:dyDescent="0.3">
      <c r="A795" s="1" t="s">
        <v>135</v>
      </c>
      <c r="B795" s="65" t="s">
        <v>88</v>
      </c>
      <c r="C795" s="18" t="s">
        <v>89</v>
      </c>
      <c r="D795" s="19">
        <v>7.02</v>
      </c>
      <c r="E795" s="36">
        <f>'NHÂN CÔNG'!G7</f>
        <v>256500</v>
      </c>
      <c r="F795" s="36">
        <f>E795*D795</f>
        <v>1800630</v>
      </c>
    </row>
    <row r="796" spans="1:12" x14ac:dyDescent="0.3">
      <c r="A796" s="1" t="s">
        <v>135</v>
      </c>
      <c r="B796" s="65" t="s">
        <v>90</v>
      </c>
      <c r="C796" s="18" t="s">
        <v>89</v>
      </c>
      <c r="D796" s="19">
        <v>10.130000000000001</v>
      </c>
      <c r="E796" s="36">
        <f>'NHÂN CÔNG'!G9</f>
        <v>312930</v>
      </c>
      <c r="F796" s="36">
        <f t="shared" ref="F796:F805" si="91">E796*D796</f>
        <v>3169980.9000000004</v>
      </c>
    </row>
    <row r="797" spans="1:12" ht="39" x14ac:dyDescent="0.3">
      <c r="A797" s="1" t="s">
        <v>142</v>
      </c>
      <c r="B797" s="95" t="s">
        <v>108</v>
      </c>
      <c r="C797" s="24"/>
      <c r="D797" s="26"/>
      <c r="E797" s="37"/>
      <c r="F797" s="36">
        <f>F798+F799</f>
        <v>745591.63500000001</v>
      </c>
    </row>
    <row r="798" spans="1:12" x14ac:dyDescent="0.3">
      <c r="A798" s="1" t="s">
        <v>135</v>
      </c>
      <c r="B798" s="65" t="s">
        <v>88</v>
      </c>
      <c r="C798" s="18" t="s">
        <v>89</v>
      </c>
      <c r="D798" s="19">
        <f>D795*15%</f>
        <v>1.0529999999999999</v>
      </c>
      <c r="E798" s="36">
        <f>E795</f>
        <v>256500</v>
      </c>
      <c r="F798" s="36">
        <f t="shared" si="91"/>
        <v>270094.5</v>
      </c>
    </row>
    <row r="799" spans="1:12" x14ac:dyDescent="0.3">
      <c r="A799" s="1" t="s">
        <v>135</v>
      </c>
      <c r="B799" s="65" t="s">
        <v>90</v>
      </c>
      <c r="C799" s="18" t="s">
        <v>89</v>
      </c>
      <c r="D799" s="19">
        <f>D796*15%</f>
        <v>1.5195000000000001</v>
      </c>
      <c r="E799" s="36">
        <f>E796</f>
        <v>312930</v>
      </c>
      <c r="F799" s="36">
        <f t="shared" si="91"/>
        <v>475497.13500000001</v>
      </c>
    </row>
    <row r="800" spans="1:12" x14ac:dyDescent="0.3">
      <c r="A800" s="1">
        <v>2</v>
      </c>
      <c r="B800" s="33" t="s">
        <v>47</v>
      </c>
      <c r="C800" s="24"/>
      <c r="D800" s="26"/>
      <c r="E800" s="37"/>
      <c r="F800" s="37">
        <f>F801+F802</f>
        <v>205840</v>
      </c>
    </row>
    <row r="801" spans="1:12" x14ac:dyDescent="0.3">
      <c r="A801" s="1" t="s">
        <v>135</v>
      </c>
      <c r="B801" s="65" t="s">
        <v>6</v>
      </c>
      <c r="C801" s="18" t="s">
        <v>92</v>
      </c>
      <c r="D801" s="19">
        <v>17.14</v>
      </c>
      <c r="E801" s="36">
        <f>'THIẾT BỊ'!F7</f>
        <v>12000</v>
      </c>
      <c r="F801" s="36">
        <f t="shared" si="91"/>
        <v>205680</v>
      </c>
    </row>
    <row r="802" spans="1:12" x14ac:dyDescent="0.3">
      <c r="A802" s="1" t="s">
        <v>135</v>
      </c>
      <c r="B802" s="65" t="s">
        <v>7</v>
      </c>
      <c r="C802" s="18" t="s">
        <v>92</v>
      </c>
      <c r="D802" s="19">
        <v>0.02</v>
      </c>
      <c r="E802" s="36">
        <f>'THIẾT BỊ'!F8</f>
        <v>8000</v>
      </c>
      <c r="F802" s="36">
        <f t="shared" si="91"/>
        <v>160</v>
      </c>
    </row>
    <row r="803" spans="1:12" x14ac:dyDescent="0.3">
      <c r="A803" s="1">
        <v>3</v>
      </c>
      <c r="B803" s="33" t="s">
        <v>48</v>
      </c>
      <c r="C803" s="24"/>
      <c r="D803" s="26"/>
      <c r="E803" s="37"/>
      <c r="F803" s="37">
        <f>F804+F805</f>
        <v>35100</v>
      </c>
    </row>
    <row r="804" spans="1:12" x14ac:dyDescent="0.3">
      <c r="A804" s="1" t="s">
        <v>135</v>
      </c>
      <c r="B804" s="65" t="s">
        <v>93</v>
      </c>
      <c r="C804" s="18" t="s">
        <v>15</v>
      </c>
      <c r="D804" s="19">
        <v>0.09</v>
      </c>
      <c r="E804" s="36">
        <f>'VẬT LIỆU'!D5</f>
        <v>90000</v>
      </c>
      <c r="F804" s="36">
        <f t="shared" si="91"/>
        <v>8100</v>
      </c>
    </row>
    <row r="805" spans="1:12" x14ac:dyDescent="0.3">
      <c r="A805" s="1" t="s">
        <v>135</v>
      </c>
      <c r="B805" s="65" t="s">
        <v>10</v>
      </c>
      <c r="C805" s="18" t="s">
        <v>16</v>
      </c>
      <c r="D805" s="19">
        <v>0.03</v>
      </c>
      <c r="E805" s="36">
        <f>'VẬT LIỆU'!D6</f>
        <v>900000</v>
      </c>
      <c r="F805" s="36">
        <f t="shared" si="91"/>
        <v>27000</v>
      </c>
    </row>
    <row r="806" spans="1:12" x14ac:dyDescent="0.3">
      <c r="A806" s="1" t="s">
        <v>39</v>
      </c>
      <c r="B806" s="33" t="s">
        <v>11</v>
      </c>
      <c r="C806" s="38" t="s">
        <v>12</v>
      </c>
      <c r="D806" s="33">
        <v>15</v>
      </c>
      <c r="E806" s="37"/>
      <c r="F806" s="37">
        <f>F792*D806%</f>
        <v>893571.38025000005</v>
      </c>
      <c r="G806" s="107"/>
      <c r="H806" s="48"/>
      <c r="I806" s="46"/>
      <c r="L806" s="109"/>
    </row>
    <row r="807" spans="1:12" x14ac:dyDescent="0.3">
      <c r="A807" s="1"/>
      <c r="B807" s="49" t="s">
        <v>85</v>
      </c>
      <c r="C807" s="38"/>
      <c r="D807" s="33"/>
      <c r="E807" s="37"/>
      <c r="F807" s="37">
        <f>F792+F806</f>
        <v>6850713.9152500005</v>
      </c>
      <c r="G807" s="107"/>
      <c r="H807" s="42"/>
      <c r="I807" s="42"/>
      <c r="J807" s="41"/>
      <c r="K807" s="41"/>
      <c r="L807" s="41"/>
    </row>
    <row r="808" spans="1:12" ht="19.5" x14ac:dyDescent="0.3">
      <c r="A808" s="28"/>
      <c r="B808" s="114"/>
      <c r="C808" s="30"/>
      <c r="D808" s="30"/>
      <c r="E808" s="31"/>
      <c r="F808" s="31"/>
    </row>
    <row r="809" spans="1:12" x14ac:dyDescent="0.3">
      <c r="A809" s="28" t="s">
        <v>203</v>
      </c>
      <c r="B809" s="155" t="s">
        <v>120</v>
      </c>
      <c r="C809" s="155"/>
      <c r="D809" s="155"/>
      <c r="E809" s="155"/>
      <c r="F809" s="155"/>
    </row>
    <row r="810" spans="1:12" x14ac:dyDescent="0.3">
      <c r="A810" s="28">
        <v>1</v>
      </c>
      <c r="B810" s="155" t="s">
        <v>178</v>
      </c>
      <c r="C810" s="155"/>
      <c r="D810" s="155"/>
      <c r="E810" s="155"/>
      <c r="F810" s="155"/>
    </row>
    <row r="811" spans="1:12" ht="19.5" x14ac:dyDescent="0.3">
      <c r="A811" s="28"/>
      <c r="B811" s="63" t="s">
        <v>121</v>
      </c>
      <c r="C811" s="30"/>
      <c r="D811" s="30"/>
      <c r="E811" s="31"/>
      <c r="F811" s="31"/>
    </row>
    <row r="812" spans="1:12" x14ac:dyDescent="0.3">
      <c r="A812" s="28"/>
      <c r="B812" s="30"/>
      <c r="C812" s="30"/>
      <c r="D812" s="30"/>
      <c r="E812" s="31"/>
      <c r="F812" s="31"/>
    </row>
    <row r="813" spans="1:12" ht="37.5" x14ac:dyDescent="0.3">
      <c r="A813" s="1"/>
      <c r="B813" s="24" t="s">
        <v>1</v>
      </c>
      <c r="C813" s="24" t="s">
        <v>72</v>
      </c>
      <c r="D813" s="24" t="s">
        <v>3</v>
      </c>
      <c r="E813" s="32" t="s">
        <v>36</v>
      </c>
      <c r="F813" s="32" t="s">
        <v>27</v>
      </c>
    </row>
    <row r="814" spans="1:12" x14ac:dyDescent="0.3">
      <c r="A814" s="1" t="s">
        <v>38</v>
      </c>
      <c r="B814" s="33" t="s">
        <v>4</v>
      </c>
      <c r="C814" s="34"/>
      <c r="D814" s="35"/>
      <c r="E814" s="36"/>
      <c r="F814" s="37">
        <f>F815+F820+F823</f>
        <v>369061.10000000003</v>
      </c>
    </row>
    <row r="815" spans="1:12" x14ac:dyDescent="0.3">
      <c r="A815" s="1">
        <v>1</v>
      </c>
      <c r="B815" s="33" t="s">
        <v>46</v>
      </c>
      <c r="C815" s="18"/>
      <c r="D815" s="18"/>
      <c r="E815" s="36"/>
      <c r="F815" s="37">
        <f>F816+F818</f>
        <v>350225.10000000003</v>
      </c>
    </row>
    <row r="816" spans="1:12" ht="19.5" x14ac:dyDescent="0.3">
      <c r="A816" s="1" t="s">
        <v>141</v>
      </c>
      <c r="B816" s="95" t="s">
        <v>87</v>
      </c>
      <c r="C816" s="18"/>
      <c r="D816" s="18"/>
      <c r="E816" s="36"/>
      <c r="F816" s="36">
        <f>F817</f>
        <v>304542.45</v>
      </c>
    </row>
    <row r="817" spans="1:12" x14ac:dyDescent="0.3">
      <c r="A817" s="1" t="s">
        <v>135</v>
      </c>
      <c r="B817" s="65" t="s">
        <v>122</v>
      </c>
      <c r="C817" s="18" t="s">
        <v>89</v>
      </c>
      <c r="D817" s="19">
        <v>1.1873</v>
      </c>
      <c r="E817" s="36">
        <f>'NHÂN CÔNG'!G7</f>
        <v>256500</v>
      </c>
      <c r="F817" s="36">
        <f>E817*D817</f>
        <v>304542.45</v>
      </c>
    </row>
    <row r="818" spans="1:12" ht="39" x14ac:dyDescent="0.3">
      <c r="A818" s="1" t="s">
        <v>142</v>
      </c>
      <c r="B818" s="95" t="s">
        <v>91</v>
      </c>
      <c r="C818" s="18" t="s">
        <v>89</v>
      </c>
      <c r="D818" s="115"/>
      <c r="E818" s="36"/>
      <c r="F818" s="36">
        <f>F819</f>
        <v>45682.65</v>
      </c>
    </row>
    <row r="819" spans="1:12" x14ac:dyDescent="0.3">
      <c r="A819" s="1" t="s">
        <v>135</v>
      </c>
      <c r="B819" s="65" t="s">
        <v>122</v>
      </c>
      <c r="C819" s="18" t="s">
        <v>89</v>
      </c>
      <c r="D819" s="19">
        <v>0.17810000000000001</v>
      </c>
      <c r="E819" s="36">
        <f>E817</f>
        <v>256500</v>
      </c>
      <c r="F819" s="36">
        <f>E819*D819</f>
        <v>45682.65</v>
      </c>
    </row>
    <row r="820" spans="1:12" x14ac:dyDescent="0.3">
      <c r="A820" s="1">
        <v>2</v>
      </c>
      <c r="B820" s="33" t="s">
        <v>47</v>
      </c>
      <c r="C820" s="18"/>
      <c r="D820" s="19"/>
      <c r="E820" s="36"/>
      <c r="F820" s="37">
        <f>F821+F822</f>
        <v>13832</v>
      </c>
    </row>
    <row r="821" spans="1:12" x14ac:dyDescent="0.3">
      <c r="A821" s="1" t="s">
        <v>135</v>
      </c>
      <c r="B821" s="65" t="s">
        <v>6</v>
      </c>
      <c r="C821" s="18" t="s">
        <v>92</v>
      </c>
      <c r="D821" s="19">
        <v>1.149</v>
      </c>
      <c r="E821" s="36">
        <f>'THIẾT BỊ'!F7</f>
        <v>12000</v>
      </c>
      <c r="F821" s="36">
        <f t="shared" ref="F821:F825" si="92">E821*D821</f>
        <v>13788</v>
      </c>
    </row>
    <row r="822" spans="1:12" x14ac:dyDescent="0.3">
      <c r="A822" s="1" t="s">
        <v>135</v>
      </c>
      <c r="B822" s="65" t="s">
        <v>7</v>
      </c>
      <c r="C822" s="18" t="s">
        <v>92</v>
      </c>
      <c r="D822" s="19">
        <v>5.4999999999999997E-3</v>
      </c>
      <c r="E822" s="36">
        <f>'THIẾT BỊ'!F8</f>
        <v>8000</v>
      </c>
      <c r="F822" s="36">
        <f t="shared" si="92"/>
        <v>44</v>
      </c>
    </row>
    <row r="823" spans="1:12" x14ac:dyDescent="0.3">
      <c r="A823" s="1">
        <v>3</v>
      </c>
      <c r="B823" s="33" t="s">
        <v>48</v>
      </c>
      <c r="C823" s="18"/>
      <c r="D823" s="19"/>
      <c r="E823" s="36"/>
      <c r="F823" s="37">
        <f>F824+F825</f>
        <v>5004</v>
      </c>
    </row>
    <row r="824" spans="1:12" x14ac:dyDescent="0.3">
      <c r="A824" s="1" t="s">
        <v>135</v>
      </c>
      <c r="B824" s="65" t="s">
        <v>93</v>
      </c>
      <c r="C824" s="18" t="s">
        <v>15</v>
      </c>
      <c r="D824" s="19">
        <v>5.9999999999999995E-4</v>
      </c>
      <c r="E824" s="36">
        <f>'VẬT LIỆU'!D5</f>
        <v>90000</v>
      </c>
      <c r="F824" s="36">
        <f t="shared" si="92"/>
        <v>53.999999999999993</v>
      </c>
    </row>
    <row r="825" spans="1:12" x14ac:dyDescent="0.3">
      <c r="A825" s="1" t="s">
        <v>135</v>
      </c>
      <c r="B825" s="65" t="s">
        <v>7</v>
      </c>
      <c r="C825" s="18" t="s">
        <v>92</v>
      </c>
      <c r="D825" s="19">
        <v>5.4999999999999997E-3</v>
      </c>
      <c r="E825" s="36">
        <f>'VẬT LIỆU'!D6</f>
        <v>900000</v>
      </c>
      <c r="F825" s="36">
        <f t="shared" si="92"/>
        <v>4950</v>
      </c>
    </row>
    <row r="826" spans="1:12" x14ac:dyDescent="0.3">
      <c r="A826" s="1" t="s">
        <v>39</v>
      </c>
      <c r="B826" s="33" t="s">
        <v>11</v>
      </c>
      <c r="C826" s="38" t="s">
        <v>12</v>
      </c>
      <c r="D826" s="33">
        <v>15</v>
      </c>
      <c r="E826" s="37"/>
      <c r="F826" s="37">
        <f>F814*D826%</f>
        <v>55359.165000000001</v>
      </c>
      <c r="G826" s="107"/>
      <c r="H826" s="48"/>
      <c r="I826" s="46"/>
      <c r="L826" s="109"/>
    </row>
    <row r="827" spans="1:12" x14ac:dyDescent="0.3">
      <c r="A827" s="1"/>
      <c r="B827" s="49" t="s">
        <v>85</v>
      </c>
      <c r="C827" s="38"/>
      <c r="D827" s="33"/>
      <c r="E827" s="37"/>
      <c r="F827" s="37">
        <f>F814+F826</f>
        <v>424420.26500000001</v>
      </c>
      <c r="G827" s="107"/>
      <c r="H827" s="42"/>
      <c r="I827" s="42"/>
      <c r="J827" s="41"/>
      <c r="K827" s="41"/>
      <c r="L827" s="41"/>
    </row>
    <row r="828" spans="1:12" x14ac:dyDescent="0.3">
      <c r="A828" s="28"/>
      <c r="B828" s="64"/>
      <c r="C828" s="30"/>
      <c r="D828" s="30"/>
      <c r="E828" s="31"/>
      <c r="F828" s="31"/>
    </row>
    <row r="829" spans="1:12" x14ac:dyDescent="0.3">
      <c r="A829" s="28">
        <v>2</v>
      </c>
      <c r="B829" s="155" t="s">
        <v>165</v>
      </c>
      <c r="C829" s="155"/>
      <c r="D829" s="155"/>
      <c r="E829" s="155"/>
      <c r="F829" s="155"/>
    </row>
    <row r="830" spans="1:12" ht="19.5" x14ac:dyDescent="0.3">
      <c r="A830" s="28"/>
      <c r="B830" s="63" t="s">
        <v>121</v>
      </c>
      <c r="C830" s="30"/>
      <c r="D830" s="30"/>
      <c r="E830" s="31"/>
      <c r="F830" s="31"/>
    </row>
    <row r="831" spans="1:12" x14ac:dyDescent="0.3">
      <c r="A831" s="28"/>
      <c r="B831" s="30"/>
      <c r="C831" s="30"/>
      <c r="D831" s="30"/>
      <c r="E831" s="31"/>
      <c r="F831" s="31"/>
    </row>
    <row r="832" spans="1:12" ht="37.5" x14ac:dyDescent="0.3">
      <c r="A832" s="1"/>
      <c r="B832" s="24" t="s">
        <v>1</v>
      </c>
      <c r="C832" s="24" t="s">
        <v>72</v>
      </c>
      <c r="D832" s="24" t="s">
        <v>3</v>
      </c>
      <c r="E832" s="32" t="s">
        <v>36</v>
      </c>
      <c r="F832" s="32" t="s">
        <v>27</v>
      </c>
    </row>
    <row r="833" spans="1:12" x14ac:dyDescent="0.3">
      <c r="A833" s="1" t="s">
        <v>38</v>
      </c>
      <c r="B833" s="33" t="s">
        <v>4</v>
      </c>
      <c r="C833" s="34"/>
      <c r="D833" s="35"/>
      <c r="E833" s="36"/>
      <c r="F833" s="37">
        <f>F834+F841+F844</f>
        <v>209934.18979999996</v>
      </c>
    </row>
    <row r="834" spans="1:12" x14ac:dyDescent="0.3">
      <c r="A834" s="1">
        <v>1</v>
      </c>
      <c r="B834" s="33" t="s">
        <v>46</v>
      </c>
      <c r="C834" s="18"/>
      <c r="D834" s="18"/>
      <c r="E834" s="36"/>
      <c r="F834" s="37">
        <f>F835+F838</f>
        <v>195511.78979999997</v>
      </c>
    </row>
    <row r="835" spans="1:12" ht="19.5" x14ac:dyDescent="0.3">
      <c r="A835" s="1" t="s">
        <v>141</v>
      </c>
      <c r="B835" s="95" t="s">
        <v>87</v>
      </c>
      <c r="C835" s="18"/>
      <c r="D835" s="18"/>
      <c r="E835" s="36"/>
      <c r="F835" s="36">
        <f>F836+F837</f>
        <v>170010.25199999998</v>
      </c>
    </row>
    <row r="836" spans="1:12" x14ac:dyDescent="0.3">
      <c r="A836" s="1" t="s">
        <v>135</v>
      </c>
      <c r="B836" s="65" t="s">
        <v>122</v>
      </c>
      <c r="C836" s="18" t="s">
        <v>89</v>
      </c>
      <c r="D836" s="19">
        <v>0.50639999999999996</v>
      </c>
      <c r="E836" s="36">
        <f>'NHÂN CÔNG'!G7</f>
        <v>256500</v>
      </c>
      <c r="F836" s="36">
        <f>E836*D836</f>
        <v>129891.59999999999</v>
      </c>
    </row>
    <row r="837" spans="1:12" x14ac:dyDescent="0.3">
      <c r="A837" s="1" t="s">
        <v>135</v>
      </c>
      <c r="B837" s="65" t="s">
        <v>123</v>
      </c>
      <c r="C837" s="18" t="s">
        <v>89</v>
      </c>
      <c r="D837" s="19">
        <v>0.1176</v>
      </c>
      <c r="E837" s="36">
        <f>'NHÂN CÔNG'!G10</f>
        <v>341145</v>
      </c>
      <c r="F837" s="36">
        <f t="shared" ref="F837:F846" si="93">E837*D837</f>
        <v>40118.652000000002</v>
      </c>
    </row>
    <row r="838" spans="1:12" ht="39" x14ac:dyDescent="0.3">
      <c r="A838" s="1" t="s">
        <v>142</v>
      </c>
      <c r="B838" s="95" t="s">
        <v>91</v>
      </c>
      <c r="C838" s="18" t="s">
        <v>89</v>
      </c>
      <c r="D838" s="19"/>
      <c r="E838" s="36"/>
      <c r="F838" s="36">
        <f>F839+F840</f>
        <v>25501.537799999998</v>
      </c>
    </row>
    <row r="839" spans="1:12" x14ac:dyDescent="0.3">
      <c r="A839" s="1" t="s">
        <v>135</v>
      </c>
      <c r="B839" s="65" t="s">
        <v>122</v>
      </c>
      <c r="C839" s="18" t="s">
        <v>89</v>
      </c>
      <c r="D839" s="19">
        <f>D836*15%</f>
        <v>7.5959999999999986E-2</v>
      </c>
      <c r="E839" s="36">
        <f>E836</f>
        <v>256500</v>
      </c>
      <c r="F839" s="36">
        <f t="shared" si="93"/>
        <v>19483.739999999998</v>
      </c>
    </row>
    <row r="840" spans="1:12" x14ac:dyDescent="0.3">
      <c r="A840" s="1" t="s">
        <v>135</v>
      </c>
      <c r="B840" s="65" t="s">
        <v>123</v>
      </c>
      <c r="C840" s="18" t="s">
        <v>89</v>
      </c>
      <c r="D840" s="19">
        <f>D837*15%</f>
        <v>1.7639999999999999E-2</v>
      </c>
      <c r="E840" s="36">
        <f>E837</f>
        <v>341145</v>
      </c>
      <c r="F840" s="36">
        <f t="shared" si="93"/>
        <v>6017.7977999999994</v>
      </c>
    </row>
    <row r="841" spans="1:12" x14ac:dyDescent="0.3">
      <c r="A841" s="1">
        <v>2</v>
      </c>
      <c r="B841" s="33" t="s">
        <v>47</v>
      </c>
      <c r="C841" s="18"/>
      <c r="D841" s="19"/>
      <c r="E841" s="36"/>
      <c r="F841" s="37">
        <f>F842+F843</f>
        <v>7402.4</v>
      </c>
    </row>
    <row r="842" spans="1:12" x14ac:dyDescent="0.3">
      <c r="A842" s="1" t="s">
        <v>135</v>
      </c>
      <c r="B842" s="65" t="s">
        <v>6</v>
      </c>
      <c r="C842" s="18" t="s">
        <v>92</v>
      </c>
      <c r="D842" s="19">
        <v>0.61419999999999997</v>
      </c>
      <c r="E842" s="36">
        <f>'THIẾT BỊ'!F7</f>
        <v>12000</v>
      </c>
      <c r="F842" s="36">
        <f t="shared" si="93"/>
        <v>7370.4</v>
      </c>
    </row>
    <row r="843" spans="1:12" x14ac:dyDescent="0.3">
      <c r="A843" s="1" t="s">
        <v>135</v>
      </c>
      <c r="B843" s="65" t="s">
        <v>7</v>
      </c>
      <c r="C843" s="18" t="s">
        <v>92</v>
      </c>
      <c r="D843" s="19">
        <v>4.0000000000000001E-3</v>
      </c>
      <c r="E843" s="36">
        <f>'THIẾT BỊ'!F8</f>
        <v>8000</v>
      </c>
      <c r="F843" s="36">
        <f t="shared" si="93"/>
        <v>32</v>
      </c>
    </row>
    <row r="844" spans="1:12" x14ac:dyDescent="0.3">
      <c r="A844" s="1">
        <v>3</v>
      </c>
      <c r="B844" s="33" t="s">
        <v>48</v>
      </c>
      <c r="C844" s="18"/>
      <c r="D844" s="19"/>
      <c r="E844" s="36"/>
      <c r="F844" s="37">
        <f>F845+F846</f>
        <v>7020</v>
      </c>
    </row>
    <row r="845" spans="1:12" x14ac:dyDescent="0.3">
      <c r="A845" s="1" t="s">
        <v>135</v>
      </c>
      <c r="B845" s="65" t="s">
        <v>93</v>
      </c>
      <c r="C845" s="18" t="s">
        <v>15</v>
      </c>
      <c r="D845" s="19">
        <v>1.7999999999999999E-2</v>
      </c>
      <c r="E845" s="36">
        <f>'VẬT LIỆU'!D5</f>
        <v>90000</v>
      </c>
      <c r="F845" s="36">
        <f t="shared" si="93"/>
        <v>1619.9999999999998</v>
      </c>
    </row>
    <row r="846" spans="1:12" x14ac:dyDescent="0.3">
      <c r="A846" s="1" t="s">
        <v>135</v>
      </c>
      <c r="B846" s="65" t="s">
        <v>10</v>
      </c>
      <c r="C846" s="18" t="s">
        <v>16</v>
      </c>
      <c r="D846" s="19">
        <v>6.0000000000000001E-3</v>
      </c>
      <c r="E846" s="36">
        <f>'VẬT LIỆU'!D6</f>
        <v>900000</v>
      </c>
      <c r="F846" s="36">
        <f t="shared" si="93"/>
        <v>5400</v>
      </c>
    </row>
    <row r="847" spans="1:12" x14ac:dyDescent="0.3">
      <c r="A847" s="1" t="s">
        <v>39</v>
      </c>
      <c r="B847" s="33" t="s">
        <v>11</v>
      </c>
      <c r="C847" s="38" t="s">
        <v>12</v>
      </c>
      <c r="D847" s="33">
        <v>15</v>
      </c>
      <c r="E847" s="37"/>
      <c r="F847" s="37">
        <f>F833*D847%</f>
        <v>31490.128469999992</v>
      </c>
      <c r="G847" s="107"/>
      <c r="H847" s="48"/>
      <c r="I847" s="46"/>
      <c r="L847" s="109"/>
    </row>
    <row r="848" spans="1:12" x14ac:dyDescent="0.3">
      <c r="A848" s="1"/>
      <c r="B848" s="49" t="s">
        <v>85</v>
      </c>
      <c r="C848" s="38"/>
      <c r="D848" s="33"/>
      <c r="E848" s="37"/>
      <c r="F848" s="37">
        <f>F833+F847</f>
        <v>241424.31826999996</v>
      </c>
      <c r="G848" s="107"/>
      <c r="H848" s="42"/>
      <c r="I848" s="42"/>
      <c r="J848" s="41"/>
      <c r="K848" s="41"/>
      <c r="L848" s="41"/>
    </row>
    <row r="849" spans="1:12" x14ac:dyDescent="0.3">
      <c r="A849" s="28"/>
      <c r="B849" s="50"/>
      <c r="C849" s="39"/>
      <c r="D849" s="48"/>
      <c r="E849" s="42"/>
      <c r="F849" s="42"/>
      <c r="G849" s="107"/>
      <c r="H849" s="42"/>
      <c r="I849" s="42"/>
      <c r="J849" s="41"/>
      <c r="K849" s="41"/>
      <c r="L849" s="41"/>
    </row>
    <row r="850" spans="1:12" x14ac:dyDescent="0.3">
      <c r="A850" s="28">
        <v>3</v>
      </c>
      <c r="B850" s="155" t="s">
        <v>179</v>
      </c>
      <c r="C850" s="155"/>
      <c r="D850" s="155"/>
      <c r="E850" s="155"/>
      <c r="F850" s="155"/>
    </row>
    <row r="851" spans="1:12" ht="19.5" x14ac:dyDescent="0.3">
      <c r="A851" s="28"/>
      <c r="B851" s="63" t="s">
        <v>121</v>
      </c>
      <c r="C851" s="30"/>
      <c r="D851" s="30"/>
      <c r="E851" s="31"/>
      <c r="F851" s="31"/>
    </row>
    <row r="852" spans="1:12" x14ac:dyDescent="0.3">
      <c r="A852" s="28"/>
      <c r="B852" s="30"/>
      <c r="C852" s="30"/>
      <c r="D852" s="30"/>
      <c r="E852" s="31"/>
      <c r="F852" s="31"/>
    </row>
    <row r="853" spans="1:12" ht="37.5" x14ac:dyDescent="0.3">
      <c r="A853" s="1"/>
      <c r="B853" s="24" t="s">
        <v>1</v>
      </c>
      <c r="C853" s="24" t="s">
        <v>72</v>
      </c>
      <c r="D853" s="24" t="s">
        <v>3</v>
      </c>
      <c r="E853" s="32" t="s">
        <v>36</v>
      </c>
      <c r="F853" s="32" t="s">
        <v>27</v>
      </c>
    </row>
    <row r="854" spans="1:12" x14ac:dyDescent="0.3">
      <c r="A854" s="1" t="s">
        <v>38</v>
      </c>
      <c r="B854" s="33" t="s">
        <v>4</v>
      </c>
      <c r="C854" s="34"/>
      <c r="D854" s="35"/>
      <c r="E854" s="36"/>
      <c r="F854" s="37">
        <f>F855+F862+F865</f>
        <v>305238.005</v>
      </c>
    </row>
    <row r="855" spans="1:12" x14ac:dyDescent="0.3">
      <c r="A855" s="1">
        <v>1</v>
      </c>
      <c r="B855" s="33" t="s">
        <v>46</v>
      </c>
      <c r="C855" s="18"/>
      <c r="D855" s="18"/>
      <c r="E855" s="36"/>
      <c r="F855" s="37">
        <f>F856+F859</f>
        <v>271318.005</v>
      </c>
    </row>
    <row r="856" spans="1:12" ht="19.5" x14ac:dyDescent="0.3">
      <c r="A856" s="1" t="s">
        <v>141</v>
      </c>
      <c r="B856" s="95" t="s">
        <v>87</v>
      </c>
      <c r="C856" s="18"/>
      <c r="D856" s="18"/>
      <c r="E856" s="36"/>
      <c r="F856" s="36">
        <f>F857+F858</f>
        <v>235928.7</v>
      </c>
    </row>
    <row r="857" spans="1:12" x14ac:dyDescent="0.3">
      <c r="A857" s="1" t="s">
        <v>135</v>
      </c>
      <c r="B857" s="65" t="s">
        <v>122</v>
      </c>
      <c r="C857" s="18" t="s">
        <v>89</v>
      </c>
      <c r="D857" s="19">
        <v>0.84</v>
      </c>
      <c r="E857" s="36">
        <f>'NHÂN CÔNG'!G7</f>
        <v>256500</v>
      </c>
      <c r="F857" s="36">
        <f>E857*D857</f>
        <v>215460</v>
      </c>
    </row>
    <row r="858" spans="1:12" x14ac:dyDescent="0.3">
      <c r="A858" s="1" t="s">
        <v>135</v>
      </c>
      <c r="B858" s="65" t="s">
        <v>123</v>
      </c>
      <c r="C858" s="18" t="s">
        <v>89</v>
      </c>
      <c r="D858" s="19">
        <v>0.06</v>
      </c>
      <c r="E858" s="36">
        <f>'NHÂN CÔNG'!G10</f>
        <v>341145</v>
      </c>
      <c r="F858" s="36">
        <f t="shared" ref="F858:F867" si="94">E858*D858</f>
        <v>20468.7</v>
      </c>
    </row>
    <row r="859" spans="1:12" ht="39" x14ac:dyDescent="0.3">
      <c r="A859" s="1" t="s">
        <v>142</v>
      </c>
      <c r="B859" s="95" t="s">
        <v>91</v>
      </c>
      <c r="C859" s="18"/>
      <c r="D859" s="19"/>
      <c r="E859" s="36"/>
      <c r="F859" s="36">
        <f>F860+F861</f>
        <v>35389.305</v>
      </c>
    </row>
    <row r="860" spans="1:12" x14ac:dyDescent="0.3">
      <c r="A860" s="1" t="s">
        <v>135</v>
      </c>
      <c r="B860" s="65" t="s">
        <v>122</v>
      </c>
      <c r="C860" s="18" t="s">
        <v>89</v>
      </c>
      <c r="D860" s="19">
        <f>D857*15%</f>
        <v>0.126</v>
      </c>
      <c r="E860" s="36">
        <f>E857</f>
        <v>256500</v>
      </c>
      <c r="F860" s="36">
        <f t="shared" si="94"/>
        <v>32319</v>
      </c>
    </row>
    <row r="861" spans="1:12" x14ac:dyDescent="0.3">
      <c r="A861" s="1" t="s">
        <v>135</v>
      </c>
      <c r="B861" s="65" t="s">
        <v>123</v>
      </c>
      <c r="C861" s="18" t="s">
        <v>89</v>
      </c>
      <c r="D861" s="19">
        <f>D858*15%</f>
        <v>8.9999999999999993E-3</v>
      </c>
      <c r="E861" s="36">
        <f>E858</f>
        <v>341145</v>
      </c>
      <c r="F861" s="36">
        <f t="shared" si="94"/>
        <v>3070.3049999999998</v>
      </c>
    </row>
    <row r="862" spans="1:12" x14ac:dyDescent="0.3">
      <c r="A862" s="1">
        <v>2</v>
      </c>
      <c r="B862" s="33" t="s">
        <v>47</v>
      </c>
      <c r="C862" s="18"/>
      <c r="D862" s="19"/>
      <c r="E862" s="36"/>
      <c r="F862" s="37">
        <f>F863+F864</f>
        <v>10520</v>
      </c>
    </row>
    <row r="863" spans="1:12" x14ac:dyDescent="0.3">
      <c r="A863" s="1" t="s">
        <v>135</v>
      </c>
      <c r="B863" s="65" t="s">
        <v>6</v>
      </c>
      <c r="C863" s="18" t="s">
        <v>92</v>
      </c>
      <c r="D863" s="19">
        <v>0.87</v>
      </c>
      <c r="E863" s="36">
        <f>'THIẾT BỊ'!F7</f>
        <v>12000</v>
      </c>
      <c r="F863" s="36">
        <f t="shared" si="94"/>
        <v>10440</v>
      </c>
    </row>
    <row r="864" spans="1:12" x14ac:dyDescent="0.3">
      <c r="A864" s="1" t="s">
        <v>135</v>
      </c>
      <c r="B864" s="65" t="s">
        <v>7</v>
      </c>
      <c r="C864" s="18" t="s">
        <v>92</v>
      </c>
      <c r="D864" s="19">
        <v>0.01</v>
      </c>
      <c r="E864" s="36">
        <f>'THIẾT BỊ'!F8</f>
        <v>8000</v>
      </c>
      <c r="F864" s="36">
        <f t="shared" si="94"/>
        <v>80</v>
      </c>
    </row>
    <row r="865" spans="1:12" x14ac:dyDescent="0.3">
      <c r="A865" s="1">
        <v>3</v>
      </c>
      <c r="B865" s="33" t="s">
        <v>48</v>
      </c>
      <c r="C865" s="18"/>
      <c r="D865" s="19"/>
      <c r="E865" s="36"/>
      <c r="F865" s="37">
        <f>F866+F867</f>
        <v>23400</v>
      </c>
    </row>
    <row r="866" spans="1:12" x14ac:dyDescent="0.3">
      <c r="A866" s="1" t="s">
        <v>135</v>
      </c>
      <c r="B866" s="65" t="s">
        <v>93</v>
      </c>
      <c r="C866" s="18" t="s">
        <v>15</v>
      </c>
      <c r="D866" s="19">
        <v>0.06</v>
      </c>
      <c r="E866" s="36">
        <f>'VẬT LIỆU'!D5</f>
        <v>90000</v>
      </c>
      <c r="F866" s="36">
        <f t="shared" si="94"/>
        <v>5400</v>
      </c>
    </row>
    <row r="867" spans="1:12" x14ac:dyDescent="0.3">
      <c r="A867" s="1" t="s">
        <v>135</v>
      </c>
      <c r="B867" s="65" t="s">
        <v>10</v>
      </c>
      <c r="C867" s="18" t="s">
        <v>16</v>
      </c>
      <c r="D867" s="19">
        <v>0.02</v>
      </c>
      <c r="E867" s="36">
        <f>'VẬT LIỆU'!D6</f>
        <v>900000</v>
      </c>
      <c r="F867" s="36">
        <f t="shared" si="94"/>
        <v>18000</v>
      </c>
    </row>
    <row r="868" spans="1:12" x14ac:dyDescent="0.3">
      <c r="A868" s="1" t="s">
        <v>39</v>
      </c>
      <c r="B868" s="33" t="s">
        <v>11</v>
      </c>
      <c r="C868" s="38" t="s">
        <v>12</v>
      </c>
      <c r="D868" s="33">
        <v>15</v>
      </c>
      <c r="E868" s="37"/>
      <c r="F868" s="37">
        <f>F854*D868%</f>
        <v>45785.700749999996</v>
      </c>
      <c r="G868" s="107"/>
      <c r="H868" s="48"/>
      <c r="I868" s="46"/>
      <c r="L868" s="109"/>
    </row>
    <row r="869" spans="1:12" x14ac:dyDescent="0.3">
      <c r="A869" s="1"/>
      <c r="B869" s="49" t="s">
        <v>85</v>
      </c>
      <c r="C869" s="38"/>
      <c r="D869" s="33"/>
      <c r="E869" s="37"/>
      <c r="F869" s="37">
        <f>F854+F868</f>
        <v>351023.70575000002</v>
      </c>
      <c r="G869" s="107"/>
      <c r="H869" s="42"/>
      <c r="I869" s="42"/>
      <c r="J869" s="41"/>
      <c r="K869" s="41"/>
      <c r="L869" s="41"/>
    </row>
    <row r="870" spans="1:12" x14ac:dyDescent="0.3">
      <c r="A870" s="28"/>
      <c r="B870" s="27"/>
      <c r="C870" s="30"/>
      <c r="D870" s="30"/>
      <c r="E870" s="31"/>
      <c r="F870" s="31"/>
    </row>
    <row r="871" spans="1:12" x14ac:dyDescent="0.3">
      <c r="A871" s="28" t="s">
        <v>204</v>
      </c>
      <c r="B871" s="155" t="s">
        <v>124</v>
      </c>
      <c r="C871" s="155"/>
      <c r="D871" s="155"/>
      <c r="E871" s="155"/>
      <c r="F871" s="155"/>
    </row>
    <row r="872" spans="1:12" x14ac:dyDescent="0.3">
      <c r="A872" s="28">
        <v>1</v>
      </c>
      <c r="B872" s="155" t="s">
        <v>180</v>
      </c>
      <c r="C872" s="155"/>
      <c r="D872" s="155"/>
      <c r="E872" s="155"/>
      <c r="F872" s="155"/>
    </row>
    <row r="873" spans="1:12" ht="19.5" x14ac:dyDescent="0.3">
      <c r="A873" s="28"/>
      <c r="B873" s="63" t="s">
        <v>125</v>
      </c>
      <c r="C873" s="30"/>
      <c r="D873" s="30"/>
      <c r="E873" s="31"/>
      <c r="F873" s="31"/>
    </row>
    <row r="874" spans="1:12" x14ac:dyDescent="0.3">
      <c r="A874" s="28"/>
      <c r="B874" s="30"/>
      <c r="C874" s="30"/>
      <c r="D874" s="30"/>
      <c r="E874" s="31"/>
      <c r="F874" s="31"/>
    </row>
    <row r="875" spans="1:12" ht="37.5" x14ac:dyDescent="0.3">
      <c r="A875" s="1"/>
      <c r="B875" s="24" t="s">
        <v>1</v>
      </c>
      <c r="C875" s="24" t="s">
        <v>72</v>
      </c>
      <c r="D875" s="24" t="s">
        <v>3</v>
      </c>
      <c r="E875" s="32" t="s">
        <v>36</v>
      </c>
      <c r="F875" s="32" t="s">
        <v>27</v>
      </c>
    </row>
    <row r="876" spans="1:12" x14ac:dyDescent="0.3">
      <c r="A876" s="1" t="s">
        <v>38</v>
      </c>
      <c r="B876" s="33" t="s">
        <v>4</v>
      </c>
      <c r="C876" s="34"/>
      <c r="D876" s="35"/>
      <c r="E876" s="36"/>
      <c r="F876" s="37">
        <f>F877+F884+F887</f>
        <v>25253682.25</v>
      </c>
    </row>
    <row r="877" spans="1:12" x14ac:dyDescent="0.3">
      <c r="A877" s="1">
        <v>1</v>
      </c>
      <c r="B877" s="33" t="s">
        <v>46</v>
      </c>
      <c r="C877" s="18"/>
      <c r="D877" s="18"/>
      <c r="E877" s="36"/>
      <c r="F877" s="37">
        <f>F878+F881</f>
        <v>24397382.25</v>
      </c>
    </row>
    <row r="878" spans="1:12" ht="19.5" x14ac:dyDescent="0.3">
      <c r="A878" s="1" t="s">
        <v>141</v>
      </c>
      <c r="B878" s="95" t="s">
        <v>87</v>
      </c>
      <c r="C878" s="18"/>
      <c r="D878" s="18"/>
      <c r="E878" s="36"/>
      <c r="F878" s="36">
        <f>F879+F880</f>
        <v>21215115</v>
      </c>
    </row>
    <row r="879" spans="1:12" x14ac:dyDescent="0.3">
      <c r="A879" s="1" t="s">
        <v>135</v>
      </c>
      <c r="B879" s="65" t="s">
        <v>122</v>
      </c>
      <c r="C879" s="18" t="s">
        <v>89</v>
      </c>
      <c r="D879" s="19">
        <v>30.25</v>
      </c>
      <c r="E879" s="36">
        <f>'NHÂN CÔNG'!G7</f>
        <v>256500</v>
      </c>
      <c r="F879" s="36">
        <f>E879*D879</f>
        <v>7759125</v>
      </c>
    </row>
    <row r="880" spans="1:12" x14ac:dyDescent="0.3">
      <c r="A880" s="1" t="s">
        <v>135</v>
      </c>
      <c r="B880" s="65" t="s">
        <v>126</v>
      </c>
      <c r="C880" s="18" t="s">
        <v>89</v>
      </c>
      <c r="D880" s="19">
        <v>43</v>
      </c>
      <c r="E880" s="36">
        <f>'NHÂN CÔNG'!G9</f>
        <v>312930</v>
      </c>
      <c r="F880" s="36">
        <f t="shared" ref="F880:F890" si="95">E880*D880</f>
        <v>13455990</v>
      </c>
    </row>
    <row r="881" spans="1:12" ht="39" x14ac:dyDescent="0.3">
      <c r="A881" s="1" t="s">
        <v>142</v>
      </c>
      <c r="B881" s="95" t="s">
        <v>91</v>
      </c>
      <c r="C881" s="18"/>
      <c r="D881" s="19"/>
      <c r="E881" s="36"/>
      <c r="F881" s="36">
        <f>F882+F883</f>
        <v>3182267.25</v>
      </c>
    </row>
    <row r="882" spans="1:12" x14ac:dyDescent="0.3">
      <c r="A882" s="1" t="s">
        <v>135</v>
      </c>
      <c r="B882" s="65" t="s">
        <v>122</v>
      </c>
      <c r="C882" s="18" t="s">
        <v>89</v>
      </c>
      <c r="D882" s="19">
        <f>D879*15%</f>
        <v>4.5374999999999996</v>
      </c>
      <c r="E882" s="36">
        <f>E879</f>
        <v>256500</v>
      </c>
      <c r="F882" s="36">
        <f t="shared" si="95"/>
        <v>1163868.75</v>
      </c>
    </row>
    <row r="883" spans="1:12" x14ac:dyDescent="0.3">
      <c r="A883" s="1" t="s">
        <v>135</v>
      </c>
      <c r="B883" s="65" t="s">
        <v>126</v>
      </c>
      <c r="C883" s="18" t="s">
        <v>89</v>
      </c>
      <c r="D883" s="19">
        <f>D880*15%</f>
        <v>6.45</v>
      </c>
      <c r="E883" s="36">
        <f>E880</f>
        <v>312930</v>
      </c>
      <c r="F883" s="36">
        <f t="shared" si="95"/>
        <v>2018398.5</v>
      </c>
    </row>
    <row r="884" spans="1:12" x14ac:dyDescent="0.3">
      <c r="A884" s="1">
        <v>2</v>
      </c>
      <c r="B884" s="33" t="s">
        <v>47</v>
      </c>
      <c r="C884" s="18"/>
      <c r="D884" s="19"/>
      <c r="E884" s="36"/>
      <c r="F884" s="37">
        <f>F885+F886</f>
        <v>759400</v>
      </c>
    </row>
    <row r="885" spans="1:12" x14ac:dyDescent="0.3">
      <c r="A885" s="1" t="s">
        <v>135</v>
      </c>
      <c r="B885" s="65" t="s">
        <v>6</v>
      </c>
      <c r="C885" s="18" t="s">
        <v>92</v>
      </c>
      <c r="D885" s="19">
        <v>63.25</v>
      </c>
      <c r="E885" s="36">
        <f>'THIẾT BỊ'!F7</f>
        <v>12000</v>
      </c>
      <c r="F885" s="36">
        <f t="shared" si="95"/>
        <v>759000</v>
      </c>
    </row>
    <row r="886" spans="1:12" x14ac:dyDescent="0.3">
      <c r="A886" s="1" t="s">
        <v>135</v>
      </c>
      <c r="B886" s="65" t="s">
        <v>7</v>
      </c>
      <c r="C886" s="18" t="s">
        <v>92</v>
      </c>
      <c r="D886" s="19">
        <v>0.05</v>
      </c>
      <c r="E886" s="36">
        <f>'THIẾT BỊ'!F8</f>
        <v>8000</v>
      </c>
      <c r="F886" s="36">
        <f t="shared" si="95"/>
        <v>400</v>
      </c>
    </row>
    <row r="887" spans="1:12" x14ac:dyDescent="0.3">
      <c r="A887" s="1">
        <v>3</v>
      </c>
      <c r="B887" s="33" t="s">
        <v>48</v>
      </c>
      <c r="C887" s="18"/>
      <c r="D887" s="19"/>
      <c r="E887" s="36"/>
      <c r="F887" s="37">
        <f>F888+F889+F890</f>
        <v>96900</v>
      </c>
    </row>
    <row r="888" spans="1:12" x14ac:dyDescent="0.3">
      <c r="A888" s="1" t="s">
        <v>135</v>
      </c>
      <c r="B888" s="65" t="s">
        <v>58</v>
      </c>
      <c r="C888" s="18" t="s">
        <v>59</v>
      </c>
      <c r="D888" s="19">
        <v>1</v>
      </c>
      <c r="E888" s="36">
        <f>'VẬT LIỆU'!D9</f>
        <v>15000</v>
      </c>
      <c r="F888" s="36">
        <f t="shared" si="95"/>
        <v>15000</v>
      </c>
    </row>
    <row r="889" spans="1:12" x14ac:dyDescent="0.3">
      <c r="A889" s="1" t="s">
        <v>135</v>
      </c>
      <c r="B889" s="65" t="s">
        <v>93</v>
      </c>
      <c r="C889" s="18" t="s">
        <v>15</v>
      </c>
      <c r="D889" s="19">
        <v>0.21</v>
      </c>
      <c r="E889" s="36">
        <f>'VẬT LIỆU'!D5</f>
        <v>90000</v>
      </c>
      <c r="F889" s="36">
        <f t="shared" si="95"/>
        <v>18900</v>
      </c>
    </row>
    <row r="890" spans="1:12" x14ac:dyDescent="0.3">
      <c r="A890" s="1" t="s">
        <v>135</v>
      </c>
      <c r="B890" s="65" t="s">
        <v>10</v>
      </c>
      <c r="C890" s="18" t="s">
        <v>16</v>
      </c>
      <c r="D890" s="19">
        <v>7.0000000000000007E-2</v>
      </c>
      <c r="E890" s="36">
        <f>'VẬT LIỆU'!D6</f>
        <v>900000</v>
      </c>
      <c r="F890" s="36">
        <f t="shared" si="95"/>
        <v>63000.000000000007</v>
      </c>
    </row>
    <row r="891" spans="1:12" x14ac:dyDescent="0.3">
      <c r="A891" s="1" t="s">
        <v>39</v>
      </c>
      <c r="B891" s="33" t="s">
        <v>11</v>
      </c>
      <c r="C891" s="38" t="s">
        <v>12</v>
      </c>
      <c r="D891" s="33">
        <v>15</v>
      </c>
      <c r="E891" s="37"/>
      <c r="F891" s="37">
        <f>F876*D891%</f>
        <v>3788052.3374999999</v>
      </c>
      <c r="G891" s="107"/>
      <c r="H891" s="48"/>
      <c r="I891" s="46"/>
      <c r="L891" s="109"/>
    </row>
    <row r="892" spans="1:12" x14ac:dyDescent="0.3">
      <c r="A892" s="1"/>
      <c r="B892" s="49" t="s">
        <v>85</v>
      </c>
      <c r="C892" s="38"/>
      <c r="D892" s="33"/>
      <c r="E892" s="37"/>
      <c r="F892" s="37">
        <f>F876+F891</f>
        <v>29041734.587499999</v>
      </c>
      <c r="G892" s="107"/>
      <c r="H892" s="42"/>
      <c r="I892" s="42"/>
      <c r="J892" s="41"/>
      <c r="K892" s="41"/>
      <c r="L892" s="41"/>
    </row>
    <row r="893" spans="1:12" x14ac:dyDescent="0.3">
      <c r="A893" s="28"/>
      <c r="B893" s="23"/>
      <c r="C893" s="30"/>
      <c r="D893" s="30"/>
      <c r="E893" s="31"/>
      <c r="F893" s="31"/>
    </row>
    <row r="894" spans="1:12" x14ac:dyDescent="0.3">
      <c r="A894" s="28">
        <v>2</v>
      </c>
      <c r="B894" s="155" t="s">
        <v>181</v>
      </c>
      <c r="C894" s="155"/>
      <c r="D894" s="155"/>
      <c r="E894" s="155"/>
      <c r="F894" s="155"/>
    </row>
    <row r="895" spans="1:12" ht="19.5" x14ac:dyDescent="0.3">
      <c r="A895" s="28"/>
      <c r="B895" s="63" t="s">
        <v>125</v>
      </c>
      <c r="C895" s="30"/>
      <c r="D895" s="30"/>
      <c r="E895" s="31"/>
      <c r="F895" s="31"/>
    </row>
    <row r="896" spans="1:12" x14ac:dyDescent="0.3">
      <c r="A896" s="28"/>
      <c r="B896" s="30"/>
      <c r="C896" s="30"/>
      <c r="D896" s="30"/>
      <c r="E896" s="31"/>
      <c r="F896" s="31"/>
    </row>
    <row r="897" spans="1:12" ht="37.5" x14ac:dyDescent="0.3">
      <c r="A897" s="1"/>
      <c r="B897" s="24" t="s">
        <v>1</v>
      </c>
      <c r="C897" s="24" t="s">
        <v>72</v>
      </c>
      <c r="D897" s="24" t="s">
        <v>3</v>
      </c>
      <c r="E897" s="32" t="s">
        <v>36</v>
      </c>
      <c r="F897" s="32" t="s">
        <v>27</v>
      </c>
    </row>
    <row r="898" spans="1:12" x14ac:dyDescent="0.3">
      <c r="A898" s="1" t="s">
        <v>38</v>
      </c>
      <c r="B898" s="33" t="s">
        <v>4</v>
      </c>
      <c r="C898" s="34"/>
      <c r="D898" s="35"/>
      <c r="E898" s="36"/>
      <c r="F898" s="37">
        <f>F899+F906+F909</f>
        <v>19387523.75</v>
      </c>
    </row>
    <row r="899" spans="1:12" x14ac:dyDescent="0.3">
      <c r="A899" s="1">
        <v>1</v>
      </c>
      <c r="B899" s="33" t="s">
        <v>46</v>
      </c>
      <c r="C899" s="18"/>
      <c r="D899" s="18"/>
      <c r="E899" s="36"/>
      <c r="F899" s="37">
        <f>F900+F903</f>
        <v>18716163.75</v>
      </c>
    </row>
    <row r="900" spans="1:12" ht="19.5" x14ac:dyDescent="0.3">
      <c r="A900" s="1" t="s">
        <v>141</v>
      </c>
      <c r="B900" s="95" t="s">
        <v>87</v>
      </c>
      <c r="C900" s="18"/>
      <c r="D900" s="18"/>
      <c r="E900" s="36"/>
      <c r="F900" s="36">
        <f>F901+F902</f>
        <v>16274925</v>
      </c>
    </row>
    <row r="901" spans="1:12" x14ac:dyDescent="0.3">
      <c r="A901" s="1" t="s">
        <v>135</v>
      </c>
      <c r="B901" s="65" t="s">
        <v>122</v>
      </c>
      <c r="C901" s="18" t="s">
        <v>89</v>
      </c>
      <c r="D901" s="19">
        <v>10.99</v>
      </c>
      <c r="E901" s="36">
        <f>'NHÂN CÔNG'!G7</f>
        <v>256500</v>
      </c>
      <c r="F901" s="36">
        <f>E901*D901</f>
        <v>2818935</v>
      </c>
    </row>
    <row r="902" spans="1:12" x14ac:dyDescent="0.3">
      <c r="A902" s="1" t="s">
        <v>135</v>
      </c>
      <c r="B902" s="65" t="s">
        <v>126</v>
      </c>
      <c r="C902" s="18" t="s">
        <v>89</v>
      </c>
      <c r="D902" s="19">
        <v>43</v>
      </c>
      <c r="E902" s="36">
        <f>'NHÂN CÔNG'!G9</f>
        <v>312930</v>
      </c>
      <c r="F902" s="36">
        <f t="shared" ref="F902:F911" si="96">E902*D902</f>
        <v>13455990</v>
      </c>
    </row>
    <row r="903" spans="1:12" ht="39" x14ac:dyDescent="0.3">
      <c r="A903" s="1" t="s">
        <v>142</v>
      </c>
      <c r="B903" s="95" t="s">
        <v>91</v>
      </c>
      <c r="C903" s="18" t="s">
        <v>89</v>
      </c>
      <c r="D903" s="19"/>
      <c r="E903" s="36"/>
      <c r="F903" s="36">
        <f>F904+F905</f>
        <v>2441238.75</v>
      </c>
    </row>
    <row r="904" spans="1:12" x14ac:dyDescent="0.3">
      <c r="A904" s="1" t="s">
        <v>135</v>
      </c>
      <c r="B904" s="65" t="s">
        <v>122</v>
      </c>
      <c r="C904" s="18" t="s">
        <v>89</v>
      </c>
      <c r="D904" s="19">
        <f>D901*15%</f>
        <v>1.6485000000000001</v>
      </c>
      <c r="E904" s="36">
        <f>E901</f>
        <v>256500</v>
      </c>
      <c r="F904" s="36">
        <f t="shared" si="96"/>
        <v>422840.25</v>
      </c>
    </row>
    <row r="905" spans="1:12" x14ac:dyDescent="0.3">
      <c r="A905" s="1" t="s">
        <v>135</v>
      </c>
      <c r="B905" s="65" t="s">
        <v>126</v>
      </c>
      <c r="C905" s="18" t="s">
        <v>89</v>
      </c>
      <c r="D905" s="19">
        <f>D902*15%</f>
        <v>6.45</v>
      </c>
      <c r="E905" s="36">
        <f>E902</f>
        <v>312930</v>
      </c>
      <c r="F905" s="36">
        <f t="shared" si="96"/>
        <v>2018398.5</v>
      </c>
    </row>
    <row r="906" spans="1:12" x14ac:dyDescent="0.3">
      <c r="A906" s="1">
        <v>2</v>
      </c>
      <c r="B906" s="33" t="s">
        <v>47</v>
      </c>
      <c r="C906" s="18"/>
      <c r="D906" s="19"/>
      <c r="E906" s="36"/>
      <c r="F906" s="37">
        <f>F907+F908</f>
        <v>647960</v>
      </c>
    </row>
    <row r="907" spans="1:12" x14ac:dyDescent="0.3">
      <c r="A907" s="1" t="s">
        <v>135</v>
      </c>
      <c r="B907" s="65" t="s">
        <v>6</v>
      </c>
      <c r="C907" s="18" t="s">
        <v>92</v>
      </c>
      <c r="D907" s="19">
        <v>53.99</v>
      </c>
      <c r="E907" s="36">
        <f>'THIẾT BỊ'!F7</f>
        <v>12000</v>
      </c>
      <c r="F907" s="36">
        <f t="shared" si="96"/>
        <v>647880</v>
      </c>
    </row>
    <row r="908" spans="1:12" x14ac:dyDescent="0.3">
      <c r="A908" s="1" t="s">
        <v>135</v>
      </c>
      <c r="B908" s="65" t="s">
        <v>7</v>
      </c>
      <c r="C908" s="18" t="s">
        <v>92</v>
      </c>
      <c r="D908" s="19">
        <v>0.01</v>
      </c>
      <c r="E908" s="36">
        <f>'THIẾT BỊ'!F8</f>
        <v>8000</v>
      </c>
      <c r="F908" s="36">
        <f t="shared" si="96"/>
        <v>80</v>
      </c>
    </row>
    <row r="909" spans="1:12" x14ac:dyDescent="0.3">
      <c r="A909" s="1">
        <v>3</v>
      </c>
      <c r="B909" s="33" t="s">
        <v>48</v>
      </c>
      <c r="C909" s="18"/>
      <c r="D909" s="19"/>
      <c r="E909" s="36"/>
      <c r="F909" s="37">
        <f>F910+F911</f>
        <v>23400</v>
      </c>
    </row>
    <row r="910" spans="1:12" x14ac:dyDescent="0.3">
      <c r="A910" s="1" t="s">
        <v>135</v>
      </c>
      <c r="B910" s="65" t="s">
        <v>93</v>
      </c>
      <c r="C910" s="18" t="s">
        <v>15</v>
      </c>
      <c r="D910" s="19">
        <v>0.06</v>
      </c>
      <c r="E910" s="36">
        <f>'VẬT LIỆU'!D5</f>
        <v>90000</v>
      </c>
      <c r="F910" s="36">
        <f t="shared" si="96"/>
        <v>5400</v>
      </c>
    </row>
    <row r="911" spans="1:12" x14ac:dyDescent="0.3">
      <c r="A911" s="1" t="s">
        <v>135</v>
      </c>
      <c r="B911" s="65" t="s">
        <v>10</v>
      </c>
      <c r="C911" s="18" t="s">
        <v>16</v>
      </c>
      <c r="D911" s="19">
        <v>0.02</v>
      </c>
      <c r="E911" s="36">
        <f>'VẬT LIỆU'!D6</f>
        <v>900000</v>
      </c>
      <c r="F911" s="36">
        <f t="shared" si="96"/>
        <v>18000</v>
      </c>
    </row>
    <row r="912" spans="1:12" x14ac:dyDescent="0.3">
      <c r="A912" s="1" t="s">
        <v>39</v>
      </c>
      <c r="B912" s="33" t="s">
        <v>11</v>
      </c>
      <c r="C912" s="38" t="s">
        <v>12</v>
      </c>
      <c r="D912" s="33">
        <v>15</v>
      </c>
      <c r="E912" s="37"/>
      <c r="F912" s="37">
        <f>F898*D912%</f>
        <v>2908128.5625</v>
      </c>
      <c r="G912" s="107"/>
      <c r="H912" s="48"/>
      <c r="I912" s="46"/>
      <c r="L912" s="109"/>
    </row>
    <row r="913" spans="1:12" x14ac:dyDescent="0.3">
      <c r="A913" s="1"/>
      <c r="B913" s="49" t="s">
        <v>85</v>
      </c>
      <c r="C913" s="38"/>
      <c r="D913" s="33"/>
      <c r="E913" s="37"/>
      <c r="F913" s="37">
        <f>F898+F912</f>
        <v>22295652.3125</v>
      </c>
      <c r="G913" s="107"/>
      <c r="H913" s="42"/>
      <c r="I913" s="42"/>
      <c r="J913" s="41"/>
      <c r="K913" s="41"/>
      <c r="L913" s="41"/>
    </row>
    <row r="914" spans="1:12" x14ac:dyDescent="0.3">
      <c r="A914" s="28"/>
      <c r="B914" s="23"/>
      <c r="C914" s="30"/>
      <c r="D914" s="30"/>
      <c r="E914" s="31"/>
      <c r="F914" s="31"/>
    </row>
    <row r="915" spans="1:12" x14ac:dyDescent="0.3">
      <c r="A915" s="28">
        <v>3</v>
      </c>
      <c r="B915" s="155" t="s">
        <v>182</v>
      </c>
      <c r="C915" s="155"/>
      <c r="D915" s="155"/>
      <c r="E915" s="155"/>
      <c r="F915" s="155"/>
    </row>
    <row r="916" spans="1:12" ht="19.5" x14ac:dyDescent="0.3">
      <c r="A916" s="28"/>
      <c r="B916" s="63" t="s">
        <v>127</v>
      </c>
      <c r="C916" s="30"/>
      <c r="D916" s="30"/>
      <c r="E916" s="31"/>
      <c r="F916" s="31"/>
    </row>
    <row r="917" spans="1:12" x14ac:dyDescent="0.3">
      <c r="A917" s="28"/>
      <c r="B917" s="30"/>
      <c r="C917" s="30"/>
      <c r="D917" s="30"/>
      <c r="E917" s="31"/>
      <c r="F917" s="31"/>
    </row>
    <row r="918" spans="1:12" ht="37.5" x14ac:dyDescent="0.3">
      <c r="A918" s="1"/>
      <c r="B918" s="24" t="s">
        <v>1</v>
      </c>
      <c r="C918" s="24" t="s">
        <v>72</v>
      </c>
      <c r="D918" s="24" t="s">
        <v>3</v>
      </c>
      <c r="E918" s="32" t="s">
        <v>36</v>
      </c>
      <c r="F918" s="32" t="s">
        <v>27</v>
      </c>
    </row>
    <row r="919" spans="1:12" x14ac:dyDescent="0.3">
      <c r="A919" s="1" t="s">
        <v>38</v>
      </c>
      <c r="B919" s="33" t="s">
        <v>4</v>
      </c>
      <c r="C919" s="34"/>
      <c r="D919" s="35"/>
      <c r="E919" s="36"/>
      <c r="F919" s="37">
        <f>F920+F925</f>
        <v>42976.5</v>
      </c>
    </row>
    <row r="920" spans="1:12" x14ac:dyDescent="0.3">
      <c r="A920" s="1">
        <v>1</v>
      </c>
      <c r="B920" s="33" t="s">
        <v>46</v>
      </c>
      <c r="C920" s="18"/>
      <c r="D920" s="18"/>
      <c r="E920" s="36"/>
      <c r="F920" s="37">
        <f>F921+F923</f>
        <v>41296.5</v>
      </c>
    </row>
    <row r="921" spans="1:12" ht="19.5" x14ac:dyDescent="0.3">
      <c r="A921" s="1" t="s">
        <v>141</v>
      </c>
      <c r="B921" s="95" t="s">
        <v>87</v>
      </c>
      <c r="C921" s="18"/>
      <c r="D921" s="18"/>
      <c r="E921" s="36"/>
      <c r="F921" s="36">
        <f>F922</f>
        <v>35910</v>
      </c>
    </row>
    <row r="922" spans="1:12" x14ac:dyDescent="0.3">
      <c r="A922" s="1" t="s">
        <v>135</v>
      </c>
      <c r="B922" s="65" t="s">
        <v>122</v>
      </c>
      <c r="C922" s="18" t="s">
        <v>89</v>
      </c>
      <c r="D922" s="19">
        <v>0.14000000000000001</v>
      </c>
      <c r="E922" s="36">
        <f>'NHÂN CÔNG'!G7</f>
        <v>256500</v>
      </c>
      <c r="F922" s="36">
        <f>E922*D922</f>
        <v>35910</v>
      </c>
    </row>
    <row r="923" spans="1:12" ht="39" x14ac:dyDescent="0.3">
      <c r="A923" s="1" t="s">
        <v>142</v>
      </c>
      <c r="B923" s="95" t="s">
        <v>91</v>
      </c>
      <c r="C923" s="18"/>
      <c r="D923" s="19"/>
      <c r="E923" s="36"/>
      <c r="F923" s="36">
        <f>F924</f>
        <v>5386.5</v>
      </c>
    </row>
    <row r="924" spans="1:12" x14ac:dyDescent="0.3">
      <c r="A924" s="1" t="s">
        <v>135</v>
      </c>
      <c r="B924" s="65" t="s">
        <v>122</v>
      </c>
      <c r="C924" s="18" t="s">
        <v>89</v>
      </c>
      <c r="D924" s="19">
        <f>D922*15%</f>
        <v>2.1000000000000001E-2</v>
      </c>
      <c r="E924" s="36">
        <f>E922</f>
        <v>256500</v>
      </c>
      <c r="F924" s="36">
        <f t="shared" ref="F924:F926" si="97">E924*D924</f>
        <v>5386.5</v>
      </c>
    </row>
    <row r="925" spans="1:12" x14ac:dyDescent="0.3">
      <c r="A925" s="1">
        <v>2</v>
      </c>
      <c r="B925" s="33" t="s">
        <v>47</v>
      </c>
      <c r="C925" s="18"/>
      <c r="D925" s="19"/>
      <c r="E925" s="36"/>
      <c r="F925" s="37">
        <f>F926</f>
        <v>1680.0000000000002</v>
      </c>
    </row>
    <row r="926" spans="1:12" x14ac:dyDescent="0.3">
      <c r="A926" s="1" t="s">
        <v>135</v>
      </c>
      <c r="B926" s="65" t="s">
        <v>6</v>
      </c>
      <c r="C926" s="18" t="s">
        <v>92</v>
      </c>
      <c r="D926" s="19">
        <v>0.14000000000000001</v>
      </c>
      <c r="E926" s="36">
        <f>'THIẾT BỊ'!F7</f>
        <v>12000</v>
      </c>
      <c r="F926" s="36">
        <f t="shared" si="97"/>
        <v>1680.0000000000002</v>
      </c>
    </row>
    <row r="927" spans="1:12" x14ac:dyDescent="0.3">
      <c r="A927" s="1" t="s">
        <v>39</v>
      </c>
      <c r="B927" s="33" t="s">
        <v>11</v>
      </c>
      <c r="C927" s="38" t="s">
        <v>12</v>
      </c>
      <c r="D927" s="33">
        <v>15</v>
      </c>
      <c r="E927" s="37"/>
      <c r="F927" s="37">
        <f>F919*D927%</f>
        <v>6446.4749999999995</v>
      </c>
      <c r="G927" s="107"/>
      <c r="H927" s="48"/>
      <c r="I927" s="46"/>
      <c r="L927" s="109"/>
    </row>
    <row r="928" spans="1:12" x14ac:dyDescent="0.3">
      <c r="A928" s="1"/>
      <c r="B928" s="49" t="s">
        <v>85</v>
      </c>
      <c r="C928" s="38"/>
      <c r="D928" s="33"/>
      <c r="E928" s="37"/>
      <c r="F928" s="37">
        <f>F919+F927</f>
        <v>49422.974999999999</v>
      </c>
      <c r="G928" s="107"/>
      <c r="H928" s="42"/>
      <c r="I928" s="42"/>
      <c r="J928" s="41"/>
      <c r="K928" s="41"/>
      <c r="L928" s="41"/>
    </row>
    <row r="929" spans="1:12" x14ac:dyDescent="0.3">
      <c r="A929" s="28"/>
      <c r="B929" s="23"/>
      <c r="C929" s="30"/>
      <c r="D929" s="30"/>
      <c r="E929" s="31"/>
      <c r="F929" s="31"/>
    </row>
    <row r="930" spans="1:12" x14ac:dyDescent="0.3">
      <c r="A930" s="28">
        <v>4</v>
      </c>
      <c r="B930" s="155" t="s">
        <v>183</v>
      </c>
      <c r="C930" s="155"/>
      <c r="D930" s="155"/>
      <c r="E930" s="155"/>
      <c r="F930" s="155"/>
    </row>
    <row r="931" spans="1:12" ht="19.5" x14ac:dyDescent="0.3">
      <c r="A931" s="28"/>
      <c r="B931" s="63" t="s">
        <v>127</v>
      </c>
      <c r="C931" s="30"/>
      <c r="D931" s="30"/>
      <c r="E931" s="31"/>
      <c r="F931" s="31"/>
    </row>
    <row r="932" spans="1:12" x14ac:dyDescent="0.3">
      <c r="A932" s="28"/>
      <c r="B932" s="30"/>
      <c r="C932" s="30"/>
      <c r="D932" s="30"/>
      <c r="E932" s="31"/>
      <c r="F932" s="31"/>
    </row>
    <row r="933" spans="1:12" ht="37.5" x14ac:dyDescent="0.3">
      <c r="A933" s="1"/>
      <c r="B933" s="24" t="s">
        <v>1</v>
      </c>
      <c r="C933" s="24" t="s">
        <v>72</v>
      </c>
      <c r="D933" s="24" t="s">
        <v>3</v>
      </c>
      <c r="E933" s="32" t="s">
        <v>36</v>
      </c>
      <c r="F933" s="32" t="s">
        <v>27</v>
      </c>
    </row>
    <row r="934" spans="1:12" x14ac:dyDescent="0.3">
      <c r="A934" s="1" t="s">
        <v>38</v>
      </c>
      <c r="B934" s="33" t="s">
        <v>4</v>
      </c>
      <c r="C934" s="34"/>
      <c r="D934" s="35"/>
      <c r="E934" s="36"/>
      <c r="F934" s="37">
        <f>F935+F940</f>
        <v>30697.5</v>
      </c>
    </row>
    <row r="935" spans="1:12" x14ac:dyDescent="0.3">
      <c r="A935" s="1">
        <v>1</v>
      </c>
      <c r="B935" s="33" t="s">
        <v>46</v>
      </c>
      <c r="C935" s="18"/>
      <c r="D935" s="18"/>
      <c r="E935" s="36"/>
      <c r="F935" s="37">
        <f>F936+F938</f>
        <v>29497.5</v>
      </c>
    </row>
    <row r="936" spans="1:12" ht="19.5" x14ac:dyDescent="0.3">
      <c r="A936" s="1" t="s">
        <v>141</v>
      </c>
      <c r="B936" s="95" t="s">
        <v>87</v>
      </c>
      <c r="C936" s="18"/>
      <c r="D936" s="18"/>
      <c r="E936" s="36"/>
      <c r="F936" s="36">
        <f>F937</f>
        <v>25650</v>
      </c>
    </row>
    <row r="937" spans="1:12" x14ac:dyDescent="0.3">
      <c r="A937" s="1" t="s">
        <v>135</v>
      </c>
      <c r="B937" s="65" t="s">
        <v>122</v>
      </c>
      <c r="C937" s="18" t="s">
        <v>89</v>
      </c>
      <c r="D937" s="19">
        <v>0.1</v>
      </c>
      <c r="E937" s="36">
        <f>'NHÂN CÔNG'!G7</f>
        <v>256500</v>
      </c>
      <c r="F937" s="36">
        <f>E937*D937</f>
        <v>25650</v>
      </c>
    </row>
    <row r="938" spans="1:12" ht="39" x14ac:dyDescent="0.3">
      <c r="A938" s="1" t="s">
        <v>142</v>
      </c>
      <c r="B938" s="95" t="s">
        <v>91</v>
      </c>
      <c r="C938" s="18"/>
      <c r="D938" s="19"/>
      <c r="E938" s="36"/>
      <c r="F938" s="36">
        <f>F939</f>
        <v>3847.5</v>
      </c>
    </row>
    <row r="939" spans="1:12" x14ac:dyDescent="0.3">
      <c r="A939" s="1" t="s">
        <v>135</v>
      </c>
      <c r="B939" s="65" t="s">
        <v>122</v>
      </c>
      <c r="C939" s="18" t="s">
        <v>89</v>
      </c>
      <c r="D939" s="19">
        <f>D937*15%</f>
        <v>1.4999999999999999E-2</v>
      </c>
      <c r="E939" s="36">
        <f>E937</f>
        <v>256500</v>
      </c>
      <c r="F939" s="36">
        <f t="shared" ref="F939:F941" si="98">E939*D939</f>
        <v>3847.5</v>
      </c>
    </row>
    <row r="940" spans="1:12" x14ac:dyDescent="0.3">
      <c r="A940" s="1">
        <v>2</v>
      </c>
      <c r="B940" s="33" t="s">
        <v>47</v>
      </c>
      <c r="C940" s="18"/>
      <c r="D940" s="19"/>
      <c r="E940" s="36"/>
      <c r="F940" s="37">
        <f>F941</f>
        <v>1200</v>
      </c>
    </row>
    <row r="941" spans="1:12" x14ac:dyDescent="0.3">
      <c r="A941" s="1" t="s">
        <v>135</v>
      </c>
      <c r="B941" s="65" t="s">
        <v>6</v>
      </c>
      <c r="C941" s="18" t="s">
        <v>92</v>
      </c>
      <c r="D941" s="19">
        <v>0.1</v>
      </c>
      <c r="E941" s="36">
        <f>'THIẾT BỊ'!F7</f>
        <v>12000</v>
      </c>
      <c r="F941" s="36">
        <f t="shared" si="98"/>
        <v>1200</v>
      </c>
    </row>
    <row r="942" spans="1:12" x14ac:dyDescent="0.3">
      <c r="A942" s="1" t="s">
        <v>39</v>
      </c>
      <c r="B942" s="33" t="s">
        <v>11</v>
      </c>
      <c r="C942" s="38" t="s">
        <v>12</v>
      </c>
      <c r="D942" s="33">
        <v>15</v>
      </c>
      <c r="E942" s="37"/>
      <c r="F942" s="37">
        <f>F934*D942%</f>
        <v>4604.625</v>
      </c>
      <c r="G942" s="107"/>
      <c r="H942" s="48"/>
      <c r="I942" s="46"/>
      <c r="L942" s="109"/>
    </row>
    <row r="943" spans="1:12" x14ac:dyDescent="0.3">
      <c r="A943" s="1"/>
      <c r="B943" s="49" t="s">
        <v>85</v>
      </c>
      <c r="C943" s="38"/>
      <c r="D943" s="33"/>
      <c r="E943" s="37"/>
      <c r="F943" s="37">
        <f>F934+F942</f>
        <v>35302.125</v>
      </c>
      <c r="G943" s="107"/>
      <c r="H943" s="42"/>
      <c r="I943" s="42"/>
      <c r="J943" s="41"/>
      <c r="K943" s="41"/>
      <c r="L943" s="41"/>
    </row>
    <row r="944" spans="1:12" x14ac:dyDescent="0.3">
      <c r="A944" s="28"/>
      <c r="B944" s="27"/>
      <c r="C944" s="30"/>
      <c r="D944" s="30"/>
      <c r="E944" s="31"/>
      <c r="F944" s="31"/>
    </row>
    <row r="945" spans="1:12" x14ac:dyDescent="0.3">
      <c r="A945" s="28" t="s">
        <v>205</v>
      </c>
      <c r="B945" s="155" t="s">
        <v>128</v>
      </c>
      <c r="C945" s="155"/>
      <c r="D945" s="155"/>
      <c r="E945" s="155"/>
      <c r="F945" s="155"/>
    </row>
    <row r="946" spans="1:12" x14ac:dyDescent="0.3">
      <c r="A946" s="28">
        <v>1</v>
      </c>
      <c r="B946" s="155" t="s">
        <v>184</v>
      </c>
      <c r="C946" s="155"/>
      <c r="D946" s="155"/>
      <c r="E946" s="155"/>
      <c r="F946" s="155"/>
      <c r="I946" s="31"/>
      <c r="J946" s="31"/>
      <c r="K946" s="31"/>
    </row>
    <row r="947" spans="1:12" ht="19.5" x14ac:dyDescent="0.3">
      <c r="A947" s="28"/>
      <c r="B947" s="63" t="s">
        <v>129</v>
      </c>
      <c r="C947" s="30"/>
      <c r="D947" s="30"/>
      <c r="E947" s="31"/>
      <c r="F947" s="31"/>
      <c r="I947" s="116"/>
      <c r="J947" s="116"/>
      <c r="K947" s="116"/>
    </row>
    <row r="948" spans="1:12" x14ac:dyDescent="0.3">
      <c r="A948" s="28"/>
      <c r="B948" s="30"/>
      <c r="C948" s="30"/>
      <c r="D948" s="30"/>
      <c r="E948" s="31"/>
      <c r="F948" s="31"/>
      <c r="J948" s="117"/>
      <c r="K948" s="117"/>
    </row>
    <row r="949" spans="1:12" ht="37.5" x14ac:dyDescent="0.3">
      <c r="A949" s="1"/>
      <c r="B949" s="24" t="s">
        <v>1</v>
      </c>
      <c r="C949" s="24" t="s">
        <v>302</v>
      </c>
      <c r="D949" s="24" t="s">
        <v>130</v>
      </c>
      <c r="E949" s="32" t="s">
        <v>36</v>
      </c>
      <c r="F949" s="32" t="s">
        <v>27</v>
      </c>
    </row>
    <row r="950" spans="1:12" x14ac:dyDescent="0.3">
      <c r="A950" s="1" t="s">
        <v>38</v>
      </c>
      <c r="B950" s="33" t="s">
        <v>4</v>
      </c>
      <c r="C950" s="34"/>
      <c r="D950" s="35"/>
      <c r="E950" s="36"/>
      <c r="F950" s="37">
        <f>F951</f>
        <v>53685.45</v>
      </c>
    </row>
    <row r="951" spans="1:12" x14ac:dyDescent="0.3">
      <c r="A951" s="1">
        <v>1</v>
      </c>
      <c r="B951" s="33" t="s">
        <v>46</v>
      </c>
      <c r="C951" s="18"/>
      <c r="D951" s="18"/>
      <c r="E951" s="36"/>
      <c r="F951" s="37">
        <f>F952+F954</f>
        <v>53685.45</v>
      </c>
    </row>
    <row r="952" spans="1:12" ht="19.5" x14ac:dyDescent="0.3">
      <c r="A952" s="1" t="s">
        <v>141</v>
      </c>
      <c r="B952" s="95" t="s">
        <v>87</v>
      </c>
      <c r="C952" s="18"/>
      <c r="D952" s="18"/>
      <c r="E952" s="36"/>
      <c r="F952" s="36">
        <f>F953</f>
        <v>46683</v>
      </c>
      <c r="I952" s="118"/>
    </row>
    <row r="953" spans="1:12" x14ac:dyDescent="0.3">
      <c r="A953" s="1"/>
      <c r="B953" s="65" t="s">
        <v>122</v>
      </c>
      <c r="C953" s="18" t="s">
        <v>89</v>
      </c>
      <c r="D953" s="19">
        <v>0.182</v>
      </c>
      <c r="E953" s="36">
        <f>'NHÂN CÔNG'!G7</f>
        <v>256500</v>
      </c>
      <c r="F953" s="36">
        <f>E953*D953</f>
        <v>46683</v>
      </c>
    </row>
    <row r="954" spans="1:12" ht="39" x14ac:dyDescent="0.3">
      <c r="A954" s="1" t="s">
        <v>142</v>
      </c>
      <c r="B954" s="95" t="s">
        <v>91</v>
      </c>
      <c r="C954" s="18"/>
      <c r="D954" s="19"/>
      <c r="E954" s="36"/>
      <c r="F954" s="36">
        <f>F955</f>
        <v>7002.45</v>
      </c>
    </row>
    <row r="955" spans="1:12" x14ac:dyDescent="0.3">
      <c r="A955" s="1"/>
      <c r="B955" s="65" t="s">
        <v>122</v>
      </c>
      <c r="C955" s="18" t="s">
        <v>89</v>
      </c>
      <c r="D955" s="19">
        <f>D953*15%</f>
        <v>2.7299999999999998E-2</v>
      </c>
      <c r="E955" s="36">
        <f>E953</f>
        <v>256500</v>
      </c>
      <c r="F955" s="36">
        <f>E955*D955</f>
        <v>7002.45</v>
      </c>
    </row>
    <row r="956" spans="1:12" x14ac:dyDescent="0.3">
      <c r="A956" s="1" t="s">
        <v>39</v>
      </c>
      <c r="B956" s="33" t="s">
        <v>11</v>
      </c>
      <c r="C956" s="38" t="s">
        <v>12</v>
      </c>
      <c r="D956" s="33">
        <v>15</v>
      </c>
      <c r="E956" s="37"/>
      <c r="F956" s="37">
        <f>F950*D956%</f>
        <v>8052.8174999999992</v>
      </c>
      <c r="G956" s="107"/>
      <c r="H956" s="48"/>
      <c r="I956" s="46"/>
      <c r="L956" s="109"/>
    </row>
    <row r="957" spans="1:12" x14ac:dyDescent="0.3">
      <c r="A957" s="1"/>
      <c r="B957" s="49" t="s">
        <v>85</v>
      </c>
      <c r="C957" s="38"/>
      <c r="D957" s="33"/>
      <c r="E957" s="37"/>
      <c r="F957" s="37">
        <f>F950+F956</f>
        <v>61738.267499999994</v>
      </c>
      <c r="G957" s="107"/>
      <c r="H957" s="42"/>
      <c r="I957" s="42"/>
      <c r="J957" s="41"/>
      <c r="K957" s="41"/>
      <c r="L957" s="41"/>
    </row>
    <row r="958" spans="1:12" x14ac:dyDescent="0.3">
      <c r="A958" s="28"/>
      <c r="B958" s="23"/>
      <c r="C958" s="30"/>
      <c r="D958" s="30"/>
      <c r="E958" s="31"/>
      <c r="F958" s="31"/>
    </row>
    <row r="959" spans="1:12" x14ac:dyDescent="0.3">
      <c r="A959" s="28">
        <v>2</v>
      </c>
      <c r="B959" s="155" t="s">
        <v>185</v>
      </c>
      <c r="C959" s="155"/>
      <c r="D959" s="155"/>
      <c r="E959" s="155"/>
      <c r="F959" s="155"/>
    </row>
    <row r="960" spans="1:12" ht="19.5" x14ac:dyDescent="0.3">
      <c r="A960" s="28"/>
      <c r="B960" s="63" t="s">
        <v>129</v>
      </c>
      <c r="C960" s="30"/>
      <c r="D960" s="30"/>
      <c r="E960" s="31"/>
      <c r="F960" s="31"/>
    </row>
    <row r="961" spans="1:16" x14ac:dyDescent="0.3">
      <c r="A961" s="28"/>
      <c r="B961" s="30"/>
      <c r="C961" s="30"/>
      <c r="D961" s="30"/>
      <c r="E961" s="31"/>
      <c r="F961" s="31"/>
    </row>
    <row r="962" spans="1:16" ht="37.5" x14ac:dyDescent="0.3">
      <c r="A962" s="1"/>
      <c r="B962" s="24" t="s">
        <v>1</v>
      </c>
      <c r="C962" s="24" t="s">
        <v>72</v>
      </c>
      <c r="D962" s="24" t="s">
        <v>3</v>
      </c>
      <c r="E962" s="32" t="s">
        <v>36</v>
      </c>
      <c r="F962" s="32" t="s">
        <v>27</v>
      </c>
    </row>
    <row r="963" spans="1:16" x14ac:dyDescent="0.3">
      <c r="A963" s="1" t="s">
        <v>38</v>
      </c>
      <c r="B963" s="33" t="s">
        <v>4</v>
      </c>
      <c r="C963" s="34"/>
      <c r="D963" s="35"/>
      <c r="E963" s="36"/>
      <c r="F963" s="37">
        <f>F964+F969+F971</f>
        <v>39604.75</v>
      </c>
    </row>
    <row r="964" spans="1:16" x14ac:dyDescent="0.3">
      <c r="A964" s="1">
        <v>1</v>
      </c>
      <c r="B964" s="33" t="s">
        <v>46</v>
      </c>
      <c r="C964" s="18"/>
      <c r="D964" s="18"/>
      <c r="E964" s="36"/>
      <c r="F964" s="37">
        <f>F965+F967</f>
        <v>38346.75</v>
      </c>
    </row>
    <row r="965" spans="1:16" ht="19.5" x14ac:dyDescent="0.3">
      <c r="A965" s="1" t="s">
        <v>141</v>
      </c>
      <c r="B965" s="95" t="s">
        <v>87</v>
      </c>
      <c r="C965" s="18"/>
      <c r="D965" s="18"/>
      <c r="E965" s="36"/>
      <c r="F965" s="36">
        <f>F966</f>
        <v>33345</v>
      </c>
    </row>
    <row r="966" spans="1:16" x14ac:dyDescent="0.3">
      <c r="A966" s="1"/>
      <c r="B966" s="65" t="s">
        <v>122</v>
      </c>
      <c r="C966" s="18" t="s">
        <v>89</v>
      </c>
      <c r="D966" s="19">
        <v>0.13</v>
      </c>
      <c r="E966" s="36">
        <f>'NHÂN CÔNG'!G7</f>
        <v>256500</v>
      </c>
      <c r="F966" s="36">
        <f>E966*D966</f>
        <v>33345</v>
      </c>
    </row>
    <row r="967" spans="1:16" ht="39" x14ac:dyDescent="0.3">
      <c r="A967" s="1" t="s">
        <v>142</v>
      </c>
      <c r="B967" s="95" t="s">
        <v>91</v>
      </c>
      <c r="C967" s="18"/>
      <c r="D967" s="19"/>
      <c r="E967" s="36"/>
      <c r="F967" s="36">
        <f>F968</f>
        <v>5001.75</v>
      </c>
    </row>
    <row r="968" spans="1:16" x14ac:dyDescent="0.3">
      <c r="A968" s="1"/>
      <c r="B968" s="65" t="s">
        <v>122</v>
      </c>
      <c r="C968" s="18" t="s">
        <v>89</v>
      </c>
      <c r="D968" s="19">
        <f>D966*15%</f>
        <v>1.95E-2</v>
      </c>
      <c r="E968" s="36">
        <f>E966</f>
        <v>256500</v>
      </c>
      <c r="F968" s="36">
        <f t="shared" ref="F968:F972" si="99">E968*D968</f>
        <v>5001.75</v>
      </c>
    </row>
    <row r="969" spans="1:16" x14ac:dyDescent="0.3">
      <c r="A969" s="1">
        <v>2</v>
      </c>
      <c r="B969" s="33" t="s">
        <v>47</v>
      </c>
      <c r="C969" s="18"/>
      <c r="D969" s="19"/>
      <c r="E969" s="36"/>
      <c r="F969" s="37">
        <f>F970</f>
        <v>208</v>
      </c>
    </row>
    <row r="970" spans="1:16" x14ac:dyDescent="0.3">
      <c r="A970" s="1"/>
      <c r="B970" s="65" t="s">
        <v>60</v>
      </c>
      <c r="C970" s="18" t="s">
        <v>92</v>
      </c>
      <c r="D970" s="19">
        <v>0.13</v>
      </c>
      <c r="E970" s="36">
        <f>'THIẾT BỊ'!F10</f>
        <v>1600</v>
      </c>
      <c r="F970" s="36">
        <f t="shared" si="99"/>
        <v>208</v>
      </c>
    </row>
    <row r="971" spans="1:16" x14ac:dyDescent="0.3">
      <c r="A971" s="1">
        <v>3</v>
      </c>
      <c r="B971" s="33" t="s">
        <v>48</v>
      </c>
      <c r="C971" s="18"/>
      <c r="D971" s="19"/>
      <c r="E971" s="36"/>
      <c r="F971" s="37">
        <f>F972</f>
        <v>1050</v>
      </c>
    </row>
    <row r="972" spans="1:16" x14ac:dyDescent="0.3">
      <c r="A972" s="1"/>
      <c r="B972" s="65" t="s">
        <v>61</v>
      </c>
      <c r="C972" s="18" t="s">
        <v>131</v>
      </c>
      <c r="D972" s="19">
        <v>7.0000000000000007E-2</v>
      </c>
      <c r="E972" s="36">
        <f>'VẬT LIỆU'!D10</f>
        <v>15000</v>
      </c>
      <c r="F972" s="36">
        <f t="shared" si="99"/>
        <v>1050</v>
      </c>
    </row>
    <row r="973" spans="1:16" x14ac:dyDescent="0.3">
      <c r="A973" s="1" t="s">
        <v>39</v>
      </c>
      <c r="B973" s="33" t="s">
        <v>11</v>
      </c>
      <c r="C973" s="38" t="s">
        <v>12</v>
      </c>
      <c r="D973" s="33">
        <v>15</v>
      </c>
      <c r="E973" s="37"/>
      <c r="F973" s="37">
        <f>F963*D973%</f>
        <v>5940.7124999999996</v>
      </c>
      <c r="G973" s="107"/>
      <c r="H973" s="48"/>
      <c r="I973" s="46"/>
      <c r="L973" s="109"/>
    </row>
    <row r="974" spans="1:16" x14ac:dyDescent="0.3">
      <c r="A974" s="1"/>
      <c r="B974" s="49" t="s">
        <v>85</v>
      </c>
      <c r="C974" s="38"/>
      <c r="D974" s="33"/>
      <c r="E974" s="37"/>
      <c r="F974" s="37">
        <f>F963+F973</f>
        <v>45545.462500000001</v>
      </c>
      <c r="G974" s="107"/>
      <c r="H974" s="42"/>
      <c r="I974" s="42"/>
      <c r="J974" s="41"/>
      <c r="K974" s="41"/>
      <c r="L974" s="41"/>
    </row>
    <row r="975" spans="1:16" x14ac:dyDescent="0.3">
      <c r="A975" s="28"/>
      <c r="B975" s="27"/>
      <c r="C975" s="30"/>
      <c r="D975" s="30"/>
      <c r="E975" s="31"/>
      <c r="F975" s="31"/>
    </row>
    <row r="976" spans="1:16" s="107" customFormat="1" x14ac:dyDescent="0.3">
      <c r="A976" s="28" t="s">
        <v>206</v>
      </c>
      <c r="B976" s="155" t="s">
        <v>132</v>
      </c>
      <c r="C976" s="155"/>
      <c r="D976" s="155"/>
      <c r="E976" s="155"/>
      <c r="F976" s="155"/>
      <c r="H976" s="48"/>
      <c r="I976" s="48"/>
      <c r="J976" s="48"/>
      <c r="K976" s="48"/>
      <c r="L976" s="48"/>
      <c r="M976" s="48"/>
      <c r="N976" s="48"/>
      <c r="O976" s="48"/>
      <c r="P976" s="48"/>
    </row>
    <row r="977" spans="1:6" x14ac:dyDescent="0.3">
      <c r="A977" s="28">
        <v>1</v>
      </c>
      <c r="B977" s="20" t="s">
        <v>186</v>
      </c>
      <c r="C977" s="30"/>
      <c r="D977" s="30"/>
      <c r="E977" s="31"/>
      <c r="F977" s="31"/>
    </row>
    <row r="978" spans="1:6" ht="19.5" x14ac:dyDescent="0.3">
      <c r="A978" s="28"/>
      <c r="B978" s="63" t="s">
        <v>133</v>
      </c>
      <c r="C978" s="30"/>
      <c r="D978" s="30"/>
      <c r="E978" s="31"/>
      <c r="F978" s="31"/>
    </row>
    <row r="979" spans="1:6" x14ac:dyDescent="0.3">
      <c r="A979" s="28"/>
      <c r="B979" s="30"/>
      <c r="C979" s="30"/>
      <c r="D979" s="30"/>
      <c r="E979" s="31"/>
      <c r="F979" s="31"/>
    </row>
    <row r="980" spans="1:6" ht="37.5" x14ac:dyDescent="0.3">
      <c r="A980" s="1"/>
      <c r="B980" s="24" t="s">
        <v>1</v>
      </c>
      <c r="C980" s="24" t="s">
        <v>72</v>
      </c>
      <c r="D980" s="24" t="s">
        <v>3</v>
      </c>
      <c r="E980" s="32" t="s">
        <v>36</v>
      </c>
      <c r="F980" s="32" t="s">
        <v>27</v>
      </c>
    </row>
    <row r="981" spans="1:6" x14ac:dyDescent="0.3">
      <c r="A981" s="1" t="s">
        <v>38</v>
      </c>
      <c r="B981" s="33" t="s">
        <v>4</v>
      </c>
      <c r="C981" s="34"/>
      <c r="D981" s="35"/>
      <c r="E981" s="36"/>
      <c r="F981" s="37">
        <f>F982+F987+F990</f>
        <v>42138.25</v>
      </c>
    </row>
    <row r="982" spans="1:6" x14ac:dyDescent="0.3">
      <c r="A982" s="1">
        <v>1</v>
      </c>
      <c r="B982" s="33" t="s">
        <v>46</v>
      </c>
      <c r="C982" s="18"/>
      <c r="D982" s="18"/>
      <c r="E982" s="36"/>
      <c r="F982" s="37">
        <f>F983+F985</f>
        <v>20648.25</v>
      </c>
    </row>
    <row r="983" spans="1:6" ht="19.5" x14ac:dyDescent="0.3">
      <c r="A983" s="1" t="s">
        <v>141</v>
      </c>
      <c r="B983" s="95" t="s">
        <v>87</v>
      </c>
      <c r="C983" s="18"/>
      <c r="D983" s="18"/>
      <c r="E983" s="36"/>
      <c r="F983" s="36">
        <f>F984</f>
        <v>17955</v>
      </c>
    </row>
    <row r="984" spans="1:6" x14ac:dyDescent="0.3">
      <c r="A984" s="1"/>
      <c r="B984" s="65" t="s">
        <v>122</v>
      </c>
      <c r="C984" s="18" t="s">
        <v>89</v>
      </c>
      <c r="D984" s="19">
        <v>7.0000000000000007E-2</v>
      </c>
      <c r="E984" s="36">
        <f>'NHÂN CÔNG'!G7</f>
        <v>256500</v>
      </c>
      <c r="F984" s="36">
        <f>E984*D984</f>
        <v>17955</v>
      </c>
    </row>
    <row r="985" spans="1:6" ht="39" x14ac:dyDescent="0.3">
      <c r="A985" s="1" t="s">
        <v>142</v>
      </c>
      <c r="B985" s="95" t="s">
        <v>91</v>
      </c>
      <c r="C985" s="18"/>
      <c r="D985" s="19"/>
      <c r="E985" s="36"/>
      <c r="F985" s="36">
        <f>F986</f>
        <v>2693.25</v>
      </c>
    </row>
    <row r="986" spans="1:6" x14ac:dyDescent="0.3">
      <c r="A986" s="1"/>
      <c r="B986" s="65" t="s">
        <v>122</v>
      </c>
      <c r="C986" s="18" t="s">
        <v>89</v>
      </c>
      <c r="D986" s="19">
        <f>D984*15%</f>
        <v>1.0500000000000001E-2</v>
      </c>
      <c r="E986" s="36">
        <f>E984</f>
        <v>256500</v>
      </c>
      <c r="F986" s="36">
        <f t="shared" ref="F986:F992" si="100">E986*D986</f>
        <v>2693.25</v>
      </c>
    </row>
    <row r="987" spans="1:6" x14ac:dyDescent="0.3">
      <c r="A987" s="1">
        <v>2</v>
      </c>
      <c r="B987" s="33" t="s">
        <v>47</v>
      </c>
      <c r="C987" s="18"/>
      <c r="D987" s="19"/>
      <c r="E987" s="36"/>
      <c r="F987" s="37">
        <f>F988+F989</f>
        <v>320</v>
      </c>
    </row>
    <row r="988" spans="1:6" x14ac:dyDescent="0.3">
      <c r="A988" s="1" t="s">
        <v>135</v>
      </c>
      <c r="B988" s="65" t="s">
        <v>6</v>
      </c>
      <c r="C988" s="18" t="s">
        <v>92</v>
      </c>
      <c r="D988" s="19">
        <v>2.5999999999999999E-2</v>
      </c>
      <c r="E988" s="36">
        <f>'THIẾT BỊ'!F7</f>
        <v>12000</v>
      </c>
      <c r="F988" s="36">
        <f t="shared" si="100"/>
        <v>312</v>
      </c>
    </row>
    <row r="989" spans="1:6" x14ac:dyDescent="0.3">
      <c r="A989" s="1" t="s">
        <v>135</v>
      </c>
      <c r="B989" s="65" t="s">
        <v>7</v>
      </c>
      <c r="C989" s="18" t="s">
        <v>92</v>
      </c>
      <c r="D989" s="19">
        <v>1E-3</v>
      </c>
      <c r="E989" s="36">
        <f>'THIẾT BỊ'!F8</f>
        <v>8000</v>
      </c>
      <c r="F989" s="36">
        <f t="shared" si="100"/>
        <v>8</v>
      </c>
    </row>
    <row r="990" spans="1:6" x14ac:dyDescent="0.3">
      <c r="A990" s="1">
        <v>3</v>
      </c>
      <c r="B990" s="33" t="s">
        <v>48</v>
      </c>
      <c r="C990" s="18"/>
      <c r="D990" s="19"/>
      <c r="E990" s="36"/>
      <c r="F990" s="37">
        <f>F991+F992+F993</f>
        <v>21170</v>
      </c>
    </row>
    <row r="991" spans="1:6" x14ac:dyDescent="0.3">
      <c r="A991" s="1" t="s">
        <v>135</v>
      </c>
      <c r="B991" s="65" t="s">
        <v>93</v>
      </c>
      <c r="C991" s="18" t="s">
        <v>15</v>
      </c>
      <c r="D991" s="19">
        <v>3.0000000000000001E-3</v>
      </c>
      <c r="E991" s="36">
        <f>'VẬT LIỆU'!D5</f>
        <v>90000</v>
      </c>
      <c r="F991" s="36">
        <f t="shared" si="100"/>
        <v>270</v>
      </c>
    </row>
    <row r="992" spans="1:6" x14ac:dyDescent="0.3">
      <c r="A992" s="1" t="s">
        <v>135</v>
      </c>
      <c r="B992" s="65" t="s">
        <v>10</v>
      </c>
      <c r="C992" s="18" t="s">
        <v>16</v>
      </c>
      <c r="D992" s="19">
        <v>1E-3</v>
      </c>
      <c r="E992" s="36">
        <f>'VẬT LIỆU'!D6</f>
        <v>900000</v>
      </c>
      <c r="F992" s="36">
        <f t="shared" si="100"/>
        <v>900</v>
      </c>
    </row>
    <row r="993" spans="1:12" x14ac:dyDescent="0.3">
      <c r="A993" s="1" t="s">
        <v>135</v>
      </c>
      <c r="B993" s="65" t="s">
        <v>63</v>
      </c>
      <c r="C993" s="18" t="s">
        <v>64</v>
      </c>
      <c r="D993" s="19">
        <v>1</v>
      </c>
      <c r="E993" s="36">
        <f>'VẬT LIỆU'!D11</f>
        <v>20000</v>
      </c>
      <c r="F993" s="36">
        <f>E993*D993</f>
        <v>20000</v>
      </c>
    </row>
    <row r="994" spans="1:12" x14ac:dyDescent="0.3">
      <c r="A994" s="1" t="s">
        <v>39</v>
      </c>
      <c r="B994" s="33" t="s">
        <v>11</v>
      </c>
      <c r="C994" s="38" t="s">
        <v>12</v>
      </c>
      <c r="D994" s="33">
        <v>15</v>
      </c>
      <c r="E994" s="37"/>
      <c r="F994" s="37">
        <f>F981*D994%</f>
        <v>6320.7375000000002</v>
      </c>
      <c r="G994" s="107"/>
      <c r="H994" s="48"/>
      <c r="I994" s="46"/>
      <c r="L994" s="109"/>
    </row>
    <row r="995" spans="1:12" x14ac:dyDescent="0.3">
      <c r="A995" s="1"/>
      <c r="B995" s="49" t="s">
        <v>85</v>
      </c>
      <c r="C995" s="38"/>
      <c r="D995" s="33"/>
      <c r="E995" s="37"/>
      <c r="F995" s="37">
        <f>F981+F994</f>
        <v>48458.987500000003</v>
      </c>
      <c r="G995" s="107"/>
      <c r="H995" s="42"/>
      <c r="I995" s="42"/>
      <c r="J995" s="41"/>
      <c r="K995" s="41"/>
      <c r="L995" s="41"/>
    </row>
    <row r="996" spans="1:12" x14ac:dyDescent="0.3">
      <c r="A996" s="28"/>
      <c r="B996" s="23"/>
      <c r="C996" s="30"/>
      <c r="D996" s="30"/>
      <c r="E996" s="31"/>
      <c r="F996" s="31"/>
    </row>
    <row r="997" spans="1:12" x14ac:dyDescent="0.3">
      <c r="A997" s="28">
        <v>2</v>
      </c>
      <c r="B997" s="64" t="s">
        <v>187</v>
      </c>
      <c r="C997" s="30"/>
      <c r="D997" s="30"/>
      <c r="E997" s="31"/>
      <c r="F997" s="31"/>
    </row>
    <row r="998" spans="1:12" ht="19.5" x14ac:dyDescent="0.3">
      <c r="A998" s="28"/>
      <c r="B998" s="63" t="s">
        <v>133</v>
      </c>
      <c r="C998" s="30"/>
      <c r="D998" s="30"/>
      <c r="E998" s="31"/>
      <c r="F998" s="31"/>
    </row>
    <row r="999" spans="1:12" x14ac:dyDescent="0.3">
      <c r="A999" s="28"/>
      <c r="B999" s="30"/>
      <c r="C999" s="30"/>
      <c r="D999" s="30"/>
      <c r="E999" s="31"/>
      <c r="F999" s="31"/>
    </row>
    <row r="1000" spans="1:12" ht="37.5" x14ac:dyDescent="0.3">
      <c r="A1000" s="1"/>
      <c r="B1000" s="24" t="s">
        <v>1</v>
      </c>
      <c r="C1000" s="24" t="s">
        <v>72</v>
      </c>
      <c r="D1000" s="24" t="s">
        <v>3</v>
      </c>
      <c r="E1000" s="32" t="s">
        <v>36</v>
      </c>
      <c r="F1000" s="32" t="s">
        <v>27</v>
      </c>
    </row>
    <row r="1001" spans="1:12" x14ac:dyDescent="0.3">
      <c r="A1001" s="1" t="s">
        <v>38</v>
      </c>
      <c r="B1001" s="33" t="s">
        <v>4</v>
      </c>
      <c r="C1001" s="34"/>
      <c r="D1001" s="35"/>
      <c r="E1001" s="36"/>
      <c r="F1001" s="37">
        <f>F1002+F1007+F1010</f>
        <v>54113.25</v>
      </c>
    </row>
    <row r="1002" spans="1:12" x14ac:dyDescent="0.3">
      <c r="A1002" s="1">
        <v>1</v>
      </c>
      <c r="B1002" s="33" t="s">
        <v>46</v>
      </c>
      <c r="C1002" s="18"/>
      <c r="D1002" s="18"/>
      <c r="E1002" s="36"/>
      <c r="F1002" s="37">
        <f>F1003+F1005</f>
        <v>32447.25</v>
      </c>
    </row>
    <row r="1003" spans="1:12" ht="19.5" x14ac:dyDescent="0.3">
      <c r="A1003" s="1" t="s">
        <v>141</v>
      </c>
      <c r="B1003" s="95" t="s">
        <v>87</v>
      </c>
      <c r="C1003" s="18"/>
      <c r="D1003" s="18"/>
      <c r="E1003" s="36"/>
      <c r="F1003" s="36">
        <f>F1004</f>
        <v>28215</v>
      </c>
    </row>
    <row r="1004" spans="1:12" x14ac:dyDescent="0.3">
      <c r="A1004" s="1"/>
      <c r="B1004" s="65" t="s">
        <v>122</v>
      </c>
      <c r="C1004" s="18" t="s">
        <v>89</v>
      </c>
      <c r="D1004" s="19">
        <v>0.11</v>
      </c>
      <c r="E1004" s="36">
        <f>'NHÂN CÔNG'!G7</f>
        <v>256500</v>
      </c>
      <c r="F1004" s="36">
        <f>E1004*D1004</f>
        <v>28215</v>
      </c>
    </row>
    <row r="1005" spans="1:12" ht="39" x14ac:dyDescent="0.3">
      <c r="A1005" s="1" t="s">
        <v>142</v>
      </c>
      <c r="B1005" s="95" t="s">
        <v>91</v>
      </c>
      <c r="C1005" s="18"/>
      <c r="D1005" s="19"/>
      <c r="E1005" s="36"/>
      <c r="F1005" s="36">
        <f>F1006</f>
        <v>4232.25</v>
      </c>
    </row>
    <row r="1006" spans="1:12" x14ac:dyDescent="0.3">
      <c r="A1006" s="1"/>
      <c r="B1006" s="65" t="s">
        <v>122</v>
      </c>
      <c r="C1006" s="18" t="s">
        <v>89</v>
      </c>
      <c r="D1006" s="19">
        <f>D1004*15%</f>
        <v>1.6500000000000001E-2</v>
      </c>
      <c r="E1006" s="36">
        <f>E1004</f>
        <v>256500</v>
      </c>
      <c r="F1006" s="36">
        <f t="shared" ref="F1006:F1013" si="101">E1006*D1006</f>
        <v>4232.25</v>
      </c>
    </row>
    <row r="1007" spans="1:12" x14ac:dyDescent="0.3">
      <c r="A1007" s="1">
        <v>2</v>
      </c>
      <c r="B1007" s="33" t="s">
        <v>47</v>
      </c>
      <c r="C1007" s="18"/>
      <c r="D1007" s="19"/>
      <c r="E1007" s="36"/>
      <c r="F1007" s="37">
        <f>F1008+F1009</f>
        <v>496</v>
      </c>
    </row>
    <row r="1008" spans="1:12" x14ac:dyDescent="0.3">
      <c r="A1008" s="1" t="s">
        <v>135</v>
      </c>
      <c r="B1008" s="65" t="s">
        <v>6</v>
      </c>
      <c r="C1008" s="18" t="s">
        <v>92</v>
      </c>
      <c r="D1008" s="19">
        <v>0.04</v>
      </c>
      <c r="E1008" s="36">
        <f>'THIẾT BỊ'!F7</f>
        <v>12000</v>
      </c>
      <c r="F1008" s="36">
        <f t="shared" si="101"/>
        <v>480</v>
      </c>
    </row>
    <row r="1009" spans="1:12" x14ac:dyDescent="0.3">
      <c r="A1009" s="1" t="s">
        <v>135</v>
      </c>
      <c r="B1009" s="65" t="s">
        <v>7</v>
      </c>
      <c r="C1009" s="18" t="s">
        <v>92</v>
      </c>
      <c r="D1009" s="19">
        <v>2E-3</v>
      </c>
      <c r="E1009" s="36">
        <f>'THIẾT BỊ'!F8</f>
        <v>8000</v>
      </c>
      <c r="F1009" s="36">
        <f t="shared" si="101"/>
        <v>16</v>
      </c>
    </row>
    <row r="1010" spans="1:12" x14ac:dyDescent="0.3">
      <c r="A1010" s="1">
        <v>3</v>
      </c>
      <c r="B1010" s="33" t="s">
        <v>48</v>
      </c>
      <c r="C1010" s="18"/>
      <c r="D1010" s="19"/>
      <c r="E1010" s="36"/>
      <c r="F1010" s="37">
        <f>F1011+F1012+F1013</f>
        <v>21170</v>
      </c>
    </row>
    <row r="1011" spans="1:12" x14ac:dyDescent="0.3">
      <c r="A1011" s="1" t="s">
        <v>135</v>
      </c>
      <c r="B1011" s="65" t="s">
        <v>93</v>
      </c>
      <c r="C1011" s="18" t="s">
        <v>15</v>
      </c>
      <c r="D1011" s="19">
        <v>3.0000000000000001E-3</v>
      </c>
      <c r="E1011" s="36">
        <f>'VẬT LIỆU'!D5</f>
        <v>90000</v>
      </c>
      <c r="F1011" s="36">
        <f t="shared" si="101"/>
        <v>270</v>
      </c>
    </row>
    <row r="1012" spans="1:12" x14ac:dyDescent="0.3">
      <c r="A1012" s="1" t="s">
        <v>135</v>
      </c>
      <c r="B1012" s="65" t="s">
        <v>10</v>
      </c>
      <c r="C1012" s="18" t="s">
        <v>16</v>
      </c>
      <c r="D1012" s="19">
        <v>1E-3</v>
      </c>
      <c r="E1012" s="36">
        <f>'VẬT LIỆU'!D6</f>
        <v>900000</v>
      </c>
      <c r="F1012" s="36">
        <f t="shared" si="101"/>
        <v>900</v>
      </c>
    </row>
    <row r="1013" spans="1:12" x14ac:dyDescent="0.3">
      <c r="A1013" s="1" t="s">
        <v>135</v>
      </c>
      <c r="B1013" s="65" t="s">
        <v>65</v>
      </c>
      <c r="C1013" s="18" t="s">
        <v>64</v>
      </c>
      <c r="D1013" s="19">
        <v>1</v>
      </c>
      <c r="E1013" s="36">
        <f>'VẬT LIỆU'!D12</f>
        <v>20000</v>
      </c>
      <c r="F1013" s="36">
        <f t="shared" si="101"/>
        <v>20000</v>
      </c>
    </row>
    <row r="1014" spans="1:12" x14ac:dyDescent="0.3">
      <c r="A1014" s="1" t="s">
        <v>39</v>
      </c>
      <c r="B1014" s="33" t="s">
        <v>11</v>
      </c>
      <c r="C1014" s="38" t="s">
        <v>12</v>
      </c>
      <c r="D1014" s="33">
        <v>15</v>
      </c>
      <c r="E1014" s="37"/>
      <c r="F1014" s="37">
        <f>F1001*D1014%</f>
        <v>8116.9874999999993</v>
      </c>
      <c r="G1014" s="107"/>
      <c r="H1014" s="48"/>
      <c r="I1014" s="46"/>
      <c r="L1014" s="109"/>
    </row>
    <row r="1015" spans="1:12" x14ac:dyDescent="0.3">
      <c r="A1015" s="1"/>
      <c r="B1015" s="49" t="s">
        <v>85</v>
      </c>
      <c r="C1015" s="38"/>
      <c r="D1015" s="33"/>
      <c r="E1015" s="37"/>
      <c r="F1015" s="37">
        <f>F1001+F1014</f>
        <v>62230.237500000003</v>
      </c>
      <c r="G1015" s="107"/>
      <c r="H1015" s="42"/>
      <c r="I1015" s="42"/>
      <c r="J1015" s="41"/>
      <c r="K1015" s="41"/>
      <c r="L1015" s="41"/>
    </row>
    <row r="1016" spans="1:12" x14ac:dyDescent="0.3">
      <c r="A1016" s="28"/>
      <c r="B1016" s="23"/>
      <c r="C1016" s="30"/>
      <c r="D1016" s="30"/>
      <c r="E1016" s="31"/>
      <c r="F1016" s="31"/>
    </row>
    <row r="1017" spans="1:12" x14ac:dyDescent="0.3">
      <c r="A1017" s="28">
        <v>3</v>
      </c>
      <c r="B1017" s="64" t="s">
        <v>188</v>
      </c>
      <c r="C1017" s="30"/>
      <c r="D1017" s="30"/>
      <c r="E1017" s="31"/>
      <c r="F1017" s="31"/>
    </row>
    <row r="1018" spans="1:12" ht="19.5" x14ac:dyDescent="0.3">
      <c r="A1018" s="28"/>
      <c r="B1018" s="63" t="s">
        <v>133</v>
      </c>
      <c r="C1018" s="30"/>
      <c r="D1018" s="30"/>
      <c r="E1018" s="31"/>
      <c r="F1018" s="31"/>
    </row>
    <row r="1019" spans="1:12" x14ac:dyDescent="0.3">
      <c r="A1019" s="28"/>
      <c r="B1019" s="30"/>
      <c r="C1019" s="30"/>
      <c r="D1019" s="30"/>
      <c r="E1019" s="31"/>
      <c r="F1019" s="31"/>
    </row>
    <row r="1020" spans="1:12" ht="37.5" x14ac:dyDescent="0.3">
      <c r="A1020" s="1"/>
      <c r="B1020" s="24" t="s">
        <v>1</v>
      </c>
      <c r="C1020" s="24" t="s">
        <v>72</v>
      </c>
      <c r="D1020" s="24" t="s">
        <v>3</v>
      </c>
      <c r="E1020" s="32" t="s">
        <v>36</v>
      </c>
      <c r="F1020" s="32" t="s">
        <v>27</v>
      </c>
    </row>
    <row r="1021" spans="1:12" x14ac:dyDescent="0.3">
      <c r="A1021" s="1" t="s">
        <v>38</v>
      </c>
      <c r="B1021" s="33" t="s">
        <v>4</v>
      </c>
      <c r="C1021" s="34"/>
      <c r="D1021" s="35"/>
      <c r="E1021" s="36"/>
      <c r="F1021" s="37">
        <f>F1022+F1027+F1030</f>
        <v>40940.75</v>
      </c>
    </row>
    <row r="1022" spans="1:12" x14ac:dyDescent="0.3">
      <c r="A1022" s="1">
        <v>1</v>
      </c>
      <c r="B1022" s="33" t="s">
        <v>46</v>
      </c>
      <c r="C1022" s="18"/>
      <c r="D1022" s="18"/>
      <c r="E1022" s="36"/>
      <c r="F1022" s="37">
        <f>F1023+F1025</f>
        <v>38346.75</v>
      </c>
    </row>
    <row r="1023" spans="1:12" ht="19.5" x14ac:dyDescent="0.3">
      <c r="A1023" s="1" t="s">
        <v>141</v>
      </c>
      <c r="B1023" s="95" t="s">
        <v>87</v>
      </c>
      <c r="C1023" s="18"/>
      <c r="D1023" s="18"/>
      <c r="E1023" s="36"/>
      <c r="F1023" s="36">
        <f>F1024</f>
        <v>33345</v>
      </c>
    </row>
    <row r="1024" spans="1:12" x14ac:dyDescent="0.3">
      <c r="A1024" s="1"/>
      <c r="B1024" s="65" t="s">
        <v>122</v>
      </c>
      <c r="C1024" s="18" t="s">
        <v>89</v>
      </c>
      <c r="D1024" s="19">
        <v>0.13</v>
      </c>
      <c r="E1024" s="36">
        <f>'NHÂN CÔNG'!G7</f>
        <v>256500</v>
      </c>
      <c r="F1024" s="36">
        <f>E1024*D1024</f>
        <v>33345</v>
      </c>
    </row>
    <row r="1025" spans="1:12" ht="39" x14ac:dyDescent="0.3">
      <c r="A1025" s="1" t="s">
        <v>142</v>
      </c>
      <c r="B1025" s="95" t="s">
        <v>91</v>
      </c>
      <c r="C1025" s="18"/>
      <c r="D1025" s="19"/>
      <c r="E1025" s="36"/>
      <c r="F1025" s="36">
        <f>F1026</f>
        <v>5001.75</v>
      </c>
    </row>
    <row r="1026" spans="1:12" x14ac:dyDescent="0.3">
      <c r="A1026" s="1"/>
      <c r="B1026" s="65" t="s">
        <v>122</v>
      </c>
      <c r="C1026" s="18" t="s">
        <v>89</v>
      </c>
      <c r="D1026" s="19">
        <f>D1024*15%</f>
        <v>1.95E-2</v>
      </c>
      <c r="E1026" s="36">
        <f>E1024</f>
        <v>256500</v>
      </c>
      <c r="F1026" s="36">
        <f t="shared" ref="F1026:F1032" si="102">E1026*D1026</f>
        <v>5001.75</v>
      </c>
    </row>
    <row r="1027" spans="1:12" x14ac:dyDescent="0.3">
      <c r="A1027" s="1">
        <v>2</v>
      </c>
      <c r="B1027" s="33" t="s">
        <v>47</v>
      </c>
      <c r="C1027" s="18"/>
      <c r="D1027" s="19"/>
      <c r="E1027" s="36"/>
      <c r="F1027" s="37">
        <f>F1028+F1029</f>
        <v>1424</v>
      </c>
    </row>
    <row r="1028" spans="1:12" x14ac:dyDescent="0.3">
      <c r="A1028" s="1"/>
      <c r="B1028" s="65" t="s">
        <v>6</v>
      </c>
      <c r="C1028" s="18" t="s">
        <v>92</v>
      </c>
      <c r="D1028" s="19">
        <v>0.11799999999999999</v>
      </c>
      <c r="E1028" s="36">
        <f>'THIẾT BỊ'!F7</f>
        <v>12000</v>
      </c>
      <c r="F1028" s="36">
        <f t="shared" si="102"/>
        <v>1416</v>
      </c>
    </row>
    <row r="1029" spans="1:12" x14ac:dyDescent="0.3">
      <c r="A1029" s="1"/>
      <c r="B1029" s="65" t="s">
        <v>7</v>
      </c>
      <c r="C1029" s="18" t="s">
        <v>92</v>
      </c>
      <c r="D1029" s="19">
        <v>1E-3</v>
      </c>
      <c r="E1029" s="36">
        <f>'THIẾT BỊ'!F8</f>
        <v>8000</v>
      </c>
      <c r="F1029" s="36">
        <f t="shared" si="102"/>
        <v>8</v>
      </c>
    </row>
    <row r="1030" spans="1:12" x14ac:dyDescent="0.3">
      <c r="A1030" s="1">
        <v>3</v>
      </c>
      <c r="B1030" s="33" t="s">
        <v>48</v>
      </c>
      <c r="C1030" s="18"/>
      <c r="D1030" s="19"/>
      <c r="E1030" s="36"/>
      <c r="F1030" s="37">
        <f>F1031+F1032</f>
        <v>1170</v>
      </c>
    </row>
    <row r="1031" spans="1:12" x14ac:dyDescent="0.3">
      <c r="A1031" s="1"/>
      <c r="B1031" s="65" t="s">
        <v>93</v>
      </c>
      <c r="C1031" s="18" t="s">
        <v>15</v>
      </c>
      <c r="D1031" s="19">
        <v>3.0000000000000001E-3</v>
      </c>
      <c r="E1031" s="36">
        <f>'VẬT LIỆU'!D5</f>
        <v>90000</v>
      </c>
      <c r="F1031" s="36">
        <f t="shared" si="102"/>
        <v>270</v>
      </c>
    </row>
    <row r="1032" spans="1:12" x14ac:dyDescent="0.3">
      <c r="A1032" s="1"/>
      <c r="B1032" s="65" t="s">
        <v>10</v>
      </c>
      <c r="C1032" s="18" t="s">
        <v>16</v>
      </c>
      <c r="D1032" s="19">
        <v>1E-3</v>
      </c>
      <c r="E1032" s="36">
        <f>'VẬT LIỆU'!D6</f>
        <v>900000</v>
      </c>
      <c r="F1032" s="36">
        <f t="shared" si="102"/>
        <v>900</v>
      </c>
    </row>
    <row r="1033" spans="1:12" x14ac:dyDescent="0.3">
      <c r="A1033" s="1" t="s">
        <v>39</v>
      </c>
      <c r="B1033" s="33" t="s">
        <v>11</v>
      </c>
      <c r="C1033" s="38" t="s">
        <v>12</v>
      </c>
      <c r="D1033" s="33">
        <v>15</v>
      </c>
      <c r="E1033" s="37"/>
      <c r="F1033" s="37">
        <f>F1021*D1033%</f>
        <v>6141.1125000000002</v>
      </c>
      <c r="G1033" s="107"/>
      <c r="H1033" s="48"/>
      <c r="I1033" s="46"/>
      <c r="L1033" s="109"/>
    </row>
    <row r="1034" spans="1:12" x14ac:dyDescent="0.3">
      <c r="A1034" s="1"/>
      <c r="B1034" s="49" t="s">
        <v>85</v>
      </c>
      <c r="C1034" s="38"/>
      <c r="D1034" s="33"/>
      <c r="E1034" s="37"/>
      <c r="F1034" s="37">
        <f>F1021+F1033</f>
        <v>47081.862500000003</v>
      </c>
      <c r="G1034" s="107"/>
      <c r="H1034" s="42"/>
      <c r="I1034" s="42"/>
      <c r="J1034" s="41"/>
      <c r="K1034" s="41"/>
      <c r="L1034" s="41"/>
    </row>
    <row r="1035" spans="1:12" x14ac:dyDescent="0.3">
      <c r="A1035" s="28"/>
      <c r="B1035" s="23"/>
      <c r="C1035" s="30"/>
      <c r="D1035" s="30"/>
      <c r="E1035" s="31"/>
      <c r="F1035" s="31"/>
    </row>
    <row r="1036" spans="1:12" x14ac:dyDescent="0.3">
      <c r="A1036" s="28">
        <v>4</v>
      </c>
      <c r="B1036" s="64" t="s">
        <v>189</v>
      </c>
      <c r="C1036" s="30"/>
      <c r="D1036" s="30"/>
      <c r="E1036" s="31"/>
      <c r="F1036" s="31"/>
    </row>
    <row r="1037" spans="1:12" ht="19.5" x14ac:dyDescent="0.3">
      <c r="A1037" s="28"/>
      <c r="B1037" s="63" t="s">
        <v>133</v>
      </c>
      <c r="C1037" s="30"/>
      <c r="D1037" s="30"/>
      <c r="E1037" s="31"/>
      <c r="F1037" s="31"/>
    </row>
    <row r="1038" spans="1:12" x14ac:dyDescent="0.3">
      <c r="A1038" s="28"/>
      <c r="B1038" s="30"/>
      <c r="C1038" s="30"/>
      <c r="D1038" s="30"/>
      <c r="E1038" s="31"/>
      <c r="F1038" s="31"/>
    </row>
    <row r="1039" spans="1:12" ht="37.5" x14ac:dyDescent="0.3">
      <c r="A1039" s="1"/>
      <c r="B1039" s="24" t="s">
        <v>1</v>
      </c>
      <c r="C1039" s="24" t="s">
        <v>72</v>
      </c>
      <c r="D1039" s="24" t="s">
        <v>3</v>
      </c>
      <c r="E1039" s="32" t="s">
        <v>36</v>
      </c>
      <c r="F1039" s="32" t="s">
        <v>27</v>
      </c>
    </row>
    <row r="1040" spans="1:12" x14ac:dyDescent="0.3">
      <c r="A1040" s="1" t="s">
        <v>38</v>
      </c>
      <c r="B1040" s="33" t="s">
        <v>4</v>
      </c>
      <c r="C1040" s="34"/>
      <c r="D1040" s="35"/>
      <c r="E1040" s="36"/>
      <c r="F1040" s="37">
        <f>F1041+F1046+F1049</f>
        <v>27941.75</v>
      </c>
    </row>
    <row r="1041" spans="1:16" x14ac:dyDescent="0.3">
      <c r="A1041" s="1">
        <v>1</v>
      </c>
      <c r="B1041" s="33" t="s">
        <v>46</v>
      </c>
      <c r="C1041" s="18"/>
      <c r="D1041" s="18"/>
      <c r="E1041" s="36"/>
      <c r="F1041" s="37">
        <f>F1042+F1044</f>
        <v>26547.75</v>
      </c>
    </row>
    <row r="1042" spans="1:16" ht="19.5" x14ac:dyDescent="0.3">
      <c r="A1042" s="1" t="s">
        <v>141</v>
      </c>
      <c r="B1042" s="95" t="s">
        <v>87</v>
      </c>
      <c r="C1042" s="18"/>
      <c r="D1042" s="18"/>
      <c r="E1042" s="36"/>
      <c r="F1042" s="36">
        <f>F1043</f>
        <v>23085</v>
      </c>
    </row>
    <row r="1043" spans="1:16" x14ac:dyDescent="0.3">
      <c r="A1043" s="1"/>
      <c r="B1043" s="65" t="s">
        <v>122</v>
      </c>
      <c r="C1043" s="18" t="s">
        <v>89</v>
      </c>
      <c r="D1043" s="19">
        <v>0.09</v>
      </c>
      <c r="E1043" s="36">
        <f>'NHÂN CÔNG'!G7</f>
        <v>256500</v>
      </c>
      <c r="F1043" s="36">
        <f>E1043*D1043</f>
        <v>23085</v>
      </c>
    </row>
    <row r="1044" spans="1:16" ht="39" x14ac:dyDescent="0.3">
      <c r="A1044" s="1" t="s">
        <v>142</v>
      </c>
      <c r="B1044" s="95" t="s">
        <v>91</v>
      </c>
      <c r="C1044" s="18"/>
      <c r="D1044" s="19"/>
      <c r="E1044" s="36"/>
      <c r="F1044" s="36">
        <f>F1045</f>
        <v>3462.75</v>
      </c>
    </row>
    <row r="1045" spans="1:16" x14ac:dyDescent="0.3">
      <c r="A1045" s="1"/>
      <c r="B1045" s="65" t="s">
        <v>122</v>
      </c>
      <c r="C1045" s="18" t="s">
        <v>89</v>
      </c>
      <c r="D1045" s="19">
        <f>D1043*15%</f>
        <v>1.35E-2</v>
      </c>
      <c r="E1045" s="36">
        <f>E1043</f>
        <v>256500</v>
      </c>
      <c r="F1045" s="36">
        <f t="shared" ref="F1045:F1051" si="103">E1045*D1045</f>
        <v>3462.75</v>
      </c>
    </row>
    <row r="1046" spans="1:16" x14ac:dyDescent="0.3">
      <c r="A1046" s="1">
        <v>2</v>
      </c>
      <c r="B1046" s="33" t="s">
        <v>47</v>
      </c>
      <c r="C1046" s="18"/>
      <c r="D1046" s="19"/>
      <c r="E1046" s="36"/>
      <c r="F1046" s="37">
        <f>F1047+F1048</f>
        <v>1160</v>
      </c>
    </row>
    <row r="1047" spans="1:16" x14ac:dyDescent="0.3">
      <c r="A1047" s="1" t="s">
        <v>135</v>
      </c>
      <c r="B1047" s="65" t="s">
        <v>6</v>
      </c>
      <c r="C1047" s="18" t="s">
        <v>92</v>
      </c>
      <c r="D1047" s="19">
        <v>0.09</v>
      </c>
      <c r="E1047" s="36">
        <f>'THIẾT BỊ'!F7</f>
        <v>12000</v>
      </c>
      <c r="F1047" s="36">
        <f t="shared" si="103"/>
        <v>1080</v>
      </c>
    </row>
    <row r="1048" spans="1:16" x14ac:dyDescent="0.3">
      <c r="A1048" s="1" t="s">
        <v>135</v>
      </c>
      <c r="B1048" s="65" t="s">
        <v>7</v>
      </c>
      <c r="C1048" s="18" t="s">
        <v>92</v>
      </c>
      <c r="D1048" s="19">
        <v>0.01</v>
      </c>
      <c r="E1048" s="36">
        <f>'THIẾT BỊ'!F8</f>
        <v>8000</v>
      </c>
      <c r="F1048" s="36">
        <f t="shared" si="103"/>
        <v>80</v>
      </c>
    </row>
    <row r="1049" spans="1:16" x14ac:dyDescent="0.3">
      <c r="A1049" s="1">
        <v>3</v>
      </c>
      <c r="B1049" s="33" t="s">
        <v>48</v>
      </c>
      <c r="C1049" s="18"/>
      <c r="D1049" s="19"/>
      <c r="E1049" s="36"/>
      <c r="F1049" s="37">
        <f>F1050+F1051</f>
        <v>234</v>
      </c>
    </row>
    <row r="1050" spans="1:16" x14ac:dyDescent="0.3">
      <c r="A1050" s="1" t="s">
        <v>135</v>
      </c>
      <c r="B1050" s="65" t="s">
        <v>93</v>
      </c>
      <c r="C1050" s="18" t="s">
        <v>15</v>
      </c>
      <c r="D1050" s="19">
        <v>5.9999999999999995E-4</v>
      </c>
      <c r="E1050" s="36">
        <f>'VẬT LIỆU'!D5</f>
        <v>90000</v>
      </c>
      <c r="F1050" s="36">
        <f t="shared" si="103"/>
        <v>53.999999999999993</v>
      </c>
    </row>
    <row r="1051" spans="1:16" x14ac:dyDescent="0.3">
      <c r="A1051" s="1" t="s">
        <v>135</v>
      </c>
      <c r="B1051" s="65" t="s">
        <v>10</v>
      </c>
      <c r="C1051" s="18" t="s">
        <v>16</v>
      </c>
      <c r="D1051" s="19">
        <v>2.0000000000000001E-4</v>
      </c>
      <c r="E1051" s="36">
        <f>'VẬT LIỆU'!D6</f>
        <v>900000</v>
      </c>
      <c r="F1051" s="36">
        <f t="shared" si="103"/>
        <v>180</v>
      </c>
    </row>
    <row r="1052" spans="1:16" x14ac:dyDescent="0.3">
      <c r="A1052" s="1" t="s">
        <v>39</v>
      </c>
      <c r="B1052" s="33" t="s">
        <v>11</v>
      </c>
      <c r="C1052" s="38" t="s">
        <v>12</v>
      </c>
      <c r="D1052" s="33">
        <v>15</v>
      </c>
      <c r="E1052" s="37"/>
      <c r="F1052" s="37">
        <f>F1040*D1052%</f>
        <v>4191.2624999999998</v>
      </c>
      <c r="G1052" s="107"/>
      <c r="H1052" s="48"/>
      <c r="I1052" s="46"/>
      <c r="L1052" s="109"/>
    </row>
    <row r="1053" spans="1:16" x14ac:dyDescent="0.3">
      <c r="A1053" s="1"/>
      <c r="B1053" s="49" t="s">
        <v>85</v>
      </c>
      <c r="C1053" s="38"/>
      <c r="D1053" s="33"/>
      <c r="E1053" s="37"/>
      <c r="F1053" s="37">
        <f>F1040+F1052</f>
        <v>32133.012500000001</v>
      </c>
      <c r="G1053" s="107"/>
      <c r="H1053" s="42"/>
      <c r="I1053" s="42"/>
      <c r="J1053" s="41"/>
      <c r="K1053" s="41"/>
      <c r="L1053" s="41"/>
    </row>
    <row r="1054" spans="1:16" x14ac:dyDescent="0.3">
      <c r="A1054" s="28"/>
      <c r="B1054" s="64"/>
      <c r="C1054" s="30"/>
      <c r="D1054" s="30"/>
      <c r="E1054" s="31"/>
      <c r="F1054" s="31"/>
    </row>
    <row r="1055" spans="1:16" s="107" customFormat="1" x14ac:dyDescent="0.3">
      <c r="A1055" s="28">
        <v>5</v>
      </c>
      <c r="B1055" s="64" t="s">
        <v>190</v>
      </c>
      <c r="C1055" s="48"/>
      <c r="D1055" s="48"/>
      <c r="E1055" s="119"/>
      <c r="F1055" s="119"/>
      <c r="H1055" s="48"/>
      <c r="I1055" s="48"/>
      <c r="J1055" s="48"/>
      <c r="K1055" s="48"/>
      <c r="L1055" s="48"/>
      <c r="M1055" s="48"/>
      <c r="N1055" s="48"/>
      <c r="O1055" s="48"/>
      <c r="P1055" s="48"/>
    </row>
    <row r="1056" spans="1:16" s="107" customFormat="1" ht="19.5" x14ac:dyDescent="0.3">
      <c r="A1056" s="28"/>
      <c r="B1056" s="63" t="s">
        <v>134</v>
      </c>
      <c r="C1056" s="48"/>
      <c r="D1056" s="48"/>
      <c r="E1056" s="119"/>
      <c r="F1056" s="119"/>
      <c r="H1056" s="48"/>
      <c r="I1056" s="48"/>
      <c r="J1056" s="48"/>
      <c r="K1056" s="48"/>
      <c r="L1056" s="48"/>
      <c r="M1056" s="48"/>
      <c r="N1056" s="48"/>
      <c r="O1056" s="48"/>
      <c r="P1056" s="48"/>
    </row>
    <row r="1057" spans="1:16" s="107" customFormat="1" ht="29.45" customHeight="1" x14ac:dyDescent="0.3">
      <c r="A1057" s="28"/>
      <c r="B1057" s="159" t="s">
        <v>242</v>
      </c>
      <c r="C1057" s="159"/>
      <c r="D1057" s="159"/>
      <c r="E1057" s="159"/>
      <c r="F1057" s="159"/>
      <c r="H1057" s="48"/>
      <c r="I1057" s="48"/>
      <c r="J1057" s="48"/>
      <c r="K1057" s="48"/>
      <c r="L1057" s="48"/>
      <c r="M1057" s="48"/>
      <c r="N1057" s="48"/>
      <c r="O1057" s="48"/>
      <c r="P1057" s="48"/>
    </row>
    <row r="1058" spans="1:16" s="107" customFormat="1" ht="36.950000000000003" customHeight="1" x14ac:dyDescent="0.3">
      <c r="A1058" s="28"/>
      <c r="B1058" s="159" t="s">
        <v>243</v>
      </c>
      <c r="C1058" s="159"/>
      <c r="D1058" s="159"/>
      <c r="E1058" s="159"/>
      <c r="F1058" s="159"/>
      <c r="H1058" s="48"/>
      <c r="I1058" s="48"/>
      <c r="J1058" s="48"/>
      <c r="K1058" s="48"/>
      <c r="L1058" s="48"/>
      <c r="M1058" s="48"/>
      <c r="N1058" s="48"/>
      <c r="O1058" s="48"/>
      <c r="P1058" s="48"/>
    </row>
    <row r="1059" spans="1:16" x14ac:dyDescent="0.3">
      <c r="A1059" s="28"/>
      <c r="B1059" s="30"/>
      <c r="C1059" s="30"/>
      <c r="D1059" s="30"/>
      <c r="E1059" s="31"/>
      <c r="F1059" s="31"/>
      <c r="H1059" s="30" t="s">
        <v>244</v>
      </c>
    </row>
    <row r="1060" spans="1:16" ht="37.5" x14ac:dyDescent="0.3">
      <c r="A1060" s="1"/>
      <c r="B1060" s="24" t="s">
        <v>1</v>
      </c>
      <c r="C1060" s="24" t="s">
        <v>72</v>
      </c>
      <c r="D1060" s="24" t="s">
        <v>3</v>
      </c>
      <c r="E1060" s="32" t="s">
        <v>36</v>
      </c>
      <c r="F1060" s="32" t="s">
        <v>27</v>
      </c>
      <c r="H1060" s="24" t="s">
        <v>3</v>
      </c>
      <c r="I1060" s="74" t="s">
        <v>27</v>
      </c>
      <c r="J1060" s="105"/>
    </row>
    <row r="1061" spans="1:16" x14ac:dyDescent="0.3">
      <c r="A1061" s="1" t="s">
        <v>38</v>
      </c>
      <c r="B1061" s="33" t="s">
        <v>4</v>
      </c>
      <c r="C1061" s="34"/>
      <c r="D1061" s="35"/>
      <c r="E1061" s="36"/>
      <c r="F1061" s="37">
        <f>F1062+F1067+F1069</f>
        <v>90100250</v>
      </c>
      <c r="H1061" s="37"/>
      <c r="I1061" s="89">
        <f>I1062+I1069+I1067</f>
        <v>22938.5</v>
      </c>
      <c r="J1061" s="106"/>
    </row>
    <row r="1062" spans="1:16" x14ac:dyDescent="0.3">
      <c r="A1062" s="1">
        <v>1</v>
      </c>
      <c r="B1062" s="33" t="s">
        <v>46</v>
      </c>
      <c r="C1062" s="18"/>
      <c r="D1062" s="18"/>
      <c r="E1062" s="36"/>
      <c r="F1062" s="37">
        <f>F1063+F1065</f>
        <v>89082450</v>
      </c>
      <c r="H1062" s="37"/>
      <c r="I1062" s="89">
        <f>I1063+I1066</f>
        <v>17698.5</v>
      </c>
      <c r="J1062" s="120"/>
    </row>
    <row r="1063" spans="1:16" ht="19.5" x14ac:dyDescent="0.35">
      <c r="A1063" s="1" t="s">
        <v>141</v>
      </c>
      <c r="B1063" s="95" t="s">
        <v>87</v>
      </c>
      <c r="C1063" s="18"/>
      <c r="D1063" s="18"/>
      <c r="E1063" s="36"/>
      <c r="F1063" s="36">
        <f>F1064</f>
        <v>77463000</v>
      </c>
      <c r="H1063" s="102"/>
      <c r="I1063" s="92">
        <f>I1064</f>
        <v>15390</v>
      </c>
      <c r="J1063" s="120"/>
    </row>
    <row r="1064" spans="1:16" x14ac:dyDescent="0.3">
      <c r="A1064" s="1"/>
      <c r="B1064" s="65" t="s">
        <v>122</v>
      </c>
      <c r="C1064" s="18" t="s">
        <v>89</v>
      </c>
      <c r="D1064" s="19">
        <v>302</v>
      </c>
      <c r="E1064" s="36">
        <f>'NHÂN CÔNG'!G7</f>
        <v>256500</v>
      </c>
      <c r="F1064" s="36">
        <f>E1064*D1064</f>
        <v>77463000</v>
      </c>
      <c r="H1064" s="35">
        <v>0.06</v>
      </c>
      <c r="I1064" s="79">
        <f>E1064*H1064</f>
        <v>15390</v>
      </c>
      <c r="J1064" s="121"/>
    </row>
    <row r="1065" spans="1:16" ht="39" x14ac:dyDescent="0.3">
      <c r="A1065" s="1" t="s">
        <v>142</v>
      </c>
      <c r="B1065" s="95" t="s">
        <v>91</v>
      </c>
      <c r="C1065" s="18"/>
      <c r="D1065" s="19"/>
      <c r="E1065" s="36"/>
      <c r="F1065" s="36">
        <f>F1066</f>
        <v>11619450</v>
      </c>
      <c r="H1065" s="35"/>
      <c r="I1065" s="79">
        <f>I1066</f>
        <v>2308.5</v>
      </c>
      <c r="J1065" s="121"/>
    </row>
    <row r="1066" spans="1:16" x14ac:dyDescent="0.3">
      <c r="A1066" s="1"/>
      <c r="B1066" s="65" t="s">
        <v>122</v>
      </c>
      <c r="C1066" s="18" t="s">
        <v>89</v>
      </c>
      <c r="D1066" s="19">
        <f>D1064*15%</f>
        <v>45.3</v>
      </c>
      <c r="E1066" s="36">
        <f>E1064</f>
        <v>256500</v>
      </c>
      <c r="F1066" s="36">
        <f t="shared" ref="F1066:F1070" si="104">E1066*D1066</f>
        <v>11619450</v>
      </c>
      <c r="H1066" s="35">
        <v>8.9999999999999993E-3</v>
      </c>
      <c r="I1066" s="92">
        <f>E1066*H1066</f>
        <v>2308.5</v>
      </c>
      <c r="J1066" s="120"/>
    </row>
    <row r="1067" spans="1:16" x14ac:dyDescent="0.3">
      <c r="A1067" s="1">
        <v>2</v>
      </c>
      <c r="B1067" s="33" t="s">
        <v>47</v>
      </c>
      <c r="C1067" s="18"/>
      <c r="D1067" s="19"/>
      <c r="E1067" s="36"/>
      <c r="F1067" s="37">
        <f>F1068</f>
        <v>1012800.0000000001</v>
      </c>
      <c r="H1067" s="35"/>
      <c r="I1067" s="77">
        <f>I1068</f>
        <v>240</v>
      </c>
      <c r="J1067" s="121"/>
    </row>
    <row r="1068" spans="1:16" x14ac:dyDescent="0.3">
      <c r="A1068" s="1"/>
      <c r="B1068" s="65" t="s">
        <v>6</v>
      </c>
      <c r="C1068" s="18" t="s">
        <v>92</v>
      </c>
      <c r="D1068" s="19">
        <v>84.4</v>
      </c>
      <c r="E1068" s="36">
        <f>'THIẾT BỊ'!F7</f>
        <v>12000</v>
      </c>
      <c r="F1068" s="36">
        <f t="shared" si="104"/>
        <v>1012800.0000000001</v>
      </c>
      <c r="H1068" s="35">
        <v>0.02</v>
      </c>
      <c r="I1068" s="79">
        <f>H1068*E1068</f>
        <v>240</v>
      </c>
      <c r="J1068" s="121"/>
    </row>
    <row r="1069" spans="1:16" x14ac:dyDescent="0.3">
      <c r="A1069" s="1">
        <v>3</v>
      </c>
      <c r="B1069" s="33" t="s">
        <v>48</v>
      </c>
      <c r="C1069" s="18"/>
      <c r="D1069" s="19"/>
      <c r="E1069" s="36"/>
      <c r="F1069" s="37">
        <f>F1070</f>
        <v>5000</v>
      </c>
      <c r="H1069" s="33"/>
      <c r="I1069" s="89">
        <f>I1070</f>
        <v>5000</v>
      </c>
      <c r="J1069" s="120"/>
    </row>
    <row r="1070" spans="1:16" x14ac:dyDescent="0.3">
      <c r="A1070" s="1"/>
      <c r="B1070" s="65" t="s">
        <v>66</v>
      </c>
      <c r="C1070" s="18" t="s">
        <v>67</v>
      </c>
      <c r="D1070" s="19">
        <v>1</v>
      </c>
      <c r="E1070" s="36">
        <f>'VẬT LIỆU'!D13</f>
        <v>5000</v>
      </c>
      <c r="F1070" s="36">
        <f t="shared" si="104"/>
        <v>5000</v>
      </c>
      <c r="H1070" s="35">
        <v>1</v>
      </c>
      <c r="I1070" s="79">
        <f>E1070*H1070</f>
        <v>5000</v>
      </c>
      <c r="J1070" s="121"/>
    </row>
    <row r="1071" spans="1:16" x14ac:dyDescent="0.3">
      <c r="A1071" s="1" t="s">
        <v>39</v>
      </c>
      <c r="B1071" s="33" t="s">
        <v>11</v>
      </c>
      <c r="C1071" s="38" t="s">
        <v>12</v>
      </c>
      <c r="D1071" s="33">
        <v>15</v>
      </c>
      <c r="E1071" s="37"/>
      <c r="F1071" s="37">
        <f>F1061*D1071%</f>
        <v>13515037.5</v>
      </c>
      <c r="G1071" s="107"/>
      <c r="H1071" s="33"/>
      <c r="I1071" s="77">
        <f>I1061*D1071%</f>
        <v>3440.7750000000001</v>
      </c>
      <c r="J1071" s="121"/>
      <c r="L1071" s="109"/>
    </row>
    <row r="1072" spans="1:16" x14ac:dyDescent="0.3">
      <c r="A1072" s="1"/>
      <c r="B1072" s="49" t="s">
        <v>85</v>
      </c>
      <c r="C1072" s="38"/>
      <c r="D1072" s="33"/>
      <c r="E1072" s="37"/>
      <c r="F1072" s="37">
        <f>F1061+F1071</f>
        <v>103615287.5</v>
      </c>
      <c r="G1072" s="107"/>
      <c r="H1072" s="111"/>
      <c r="I1072" s="112">
        <f>I1061+I1071</f>
        <v>26379.275000000001</v>
      </c>
      <c r="J1072" s="106"/>
      <c r="K1072" s="41"/>
      <c r="L1072" s="41"/>
    </row>
    <row r="1073" spans="1:12" ht="37.5" x14ac:dyDescent="0.3">
      <c r="A1073" s="1"/>
      <c r="B1073" s="49" t="s">
        <v>277</v>
      </c>
      <c r="C1073" s="38"/>
      <c r="D1073" s="33"/>
      <c r="E1073" s="37"/>
      <c r="F1073" s="37">
        <f>I1072</f>
        <v>26379.275000000001</v>
      </c>
      <c r="G1073" s="107"/>
      <c r="H1073" s="42"/>
      <c r="I1073" s="42"/>
      <c r="J1073" s="41"/>
      <c r="K1073" s="41"/>
      <c r="L1073" s="41"/>
    </row>
    <row r="1074" spans="1:12" x14ac:dyDescent="0.3">
      <c r="A1074" s="28"/>
      <c r="B1074" s="50"/>
      <c r="C1074" s="39"/>
      <c r="D1074" s="48"/>
      <c r="E1074" s="42"/>
      <c r="F1074" s="42"/>
      <c r="G1074" s="107"/>
      <c r="H1074" s="42"/>
      <c r="I1074" s="42"/>
      <c r="J1074" s="41"/>
      <c r="K1074" s="41"/>
      <c r="L1074" s="41"/>
    </row>
    <row r="1075" spans="1:12" x14ac:dyDescent="0.3">
      <c r="A1075" s="28">
        <v>6</v>
      </c>
      <c r="B1075" s="64" t="s">
        <v>195</v>
      </c>
      <c r="C1075" s="30"/>
      <c r="D1075" s="30"/>
      <c r="E1075" s="31"/>
      <c r="F1075" s="31"/>
    </row>
    <row r="1076" spans="1:12" ht="19.5" x14ac:dyDescent="0.3">
      <c r="A1076" s="28"/>
      <c r="B1076" s="63" t="s">
        <v>133</v>
      </c>
      <c r="C1076" s="30"/>
      <c r="D1076" s="30"/>
      <c r="E1076" s="31"/>
      <c r="F1076" s="31"/>
    </row>
    <row r="1077" spans="1:12" x14ac:dyDescent="0.3">
      <c r="A1077" s="28"/>
      <c r="B1077" s="30"/>
      <c r="C1077" s="30"/>
      <c r="D1077" s="30"/>
      <c r="E1077" s="31"/>
      <c r="F1077" s="31"/>
    </row>
    <row r="1078" spans="1:12" ht="37.5" x14ac:dyDescent="0.3">
      <c r="A1078" s="1"/>
      <c r="B1078" s="24" t="s">
        <v>1</v>
      </c>
      <c r="C1078" s="24" t="s">
        <v>72</v>
      </c>
      <c r="D1078" s="24" t="s">
        <v>3</v>
      </c>
      <c r="E1078" s="32" t="s">
        <v>36</v>
      </c>
      <c r="F1078" s="32" t="s">
        <v>27</v>
      </c>
    </row>
    <row r="1079" spans="1:12" x14ac:dyDescent="0.3">
      <c r="A1079" s="1" t="s">
        <v>38</v>
      </c>
      <c r="B1079" s="33" t="s">
        <v>4</v>
      </c>
      <c r="C1079" s="34"/>
      <c r="D1079" s="35"/>
      <c r="E1079" s="36"/>
      <c r="F1079" s="37">
        <f>F1080+F1085</f>
        <v>21488.25</v>
      </c>
    </row>
    <row r="1080" spans="1:12" x14ac:dyDescent="0.3">
      <c r="A1080" s="1">
        <v>1</v>
      </c>
      <c r="B1080" s="33" t="s">
        <v>46</v>
      </c>
      <c r="C1080" s="18"/>
      <c r="D1080" s="18"/>
      <c r="E1080" s="36"/>
      <c r="F1080" s="37">
        <f>F1081+F1083</f>
        <v>20648.25</v>
      </c>
    </row>
    <row r="1081" spans="1:12" ht="19.5" x14ac:dyDescent="0.3">
      <c r="A1081" s="1" t="s">
        <v>141</v>
      </c>
      <c r="B1081" s="95" t="s">
        <v>87</v>
      </c>
      <c r="C1081" s="18"/>
      <c r="D1081" s="18"/>
      <c r="E1081" s="36"/>
      <c r="F1081" s="36">
        <f>F1082</f>
        <v>17955</v>
      </c>
    </row>
    <row r="1082" spans="1:12" x14ac:dyDescent="0.3">
      <c r="A1082" s="1"/>
      <c r="B1082" s="65" t="s">
        <v>122</v>
      </c>
      <c r="C1082" s="18" t="s">
        <v>89</v>
      </c>
      <c r="D1082" s="19">
        <v>7.0000000000000007E-2</v>
      </c>
      <c r="E1082" s="36">
        <f>'NHÂN CÔNG'!G7</f>
        <v>256500</v>
      </c>
      <c r="F1082" s="36">
        <f>E1082*D1082</f>
        <v>17955</v>
      </c>
    </row>
    <row r="1083" spans="1:12" ht="39" x14ac:dyDescent="0.3">
      <c r="A1083" s="1" t="s">
        <v>142</v>
      </c>
      <c r="B1083" s="95" t="s">
        <v>91</v>
      </c>
      <c r="C1083" s="18"/>
      <c r="D1083" s="19"/>
      <c r="E1083" s="36"/>
      <c r="F1083" s="36">
        <f>F1084</f>
        <v>2693.25</v>
      </c>
    </row>
    <row r="1084" spans="1:12" x14ac:dyDescent="0.3">
      <c r="A1084" s="1"/>
      <c r="B1084" s="65" t="s">
        <v>122</v>
      </c>
      <c r="C1084" s="18" t="s">
        <v>89</v>
      </c>
      <c r="D1084" s="19">
        <f>D1082*15%</f>
        <v>1.0500000000000001E-2</v>
      </c>
      <c r="E1084" s="36">
        <f>E1082</f>
        <v>256500</v>
      </c>
      <c r="F1084" s="36">
        <f t="shared" ref="F1084:F1086" si="105">E1084*D1084</f>
        <v>2693.25</v>
      </c>
    </row>
    <row r="1085" spans="1:12" x14ac:dyDescent="0.3">
      <c r="A1085" s="1">
        <v>2</v>
      </c>
      <c r="B1085" s="33" t="s">
        <v>47</v>
      </c>
      <c r="C1085" s="18"/>
      <c r="D1085" s="19"/>
      <c r="E1085" s="36"/>
      <c r="F1085" s="37">
        <f>F1086</f>
        <v>840.00000000000011</v>
      </c>
    </row>
    <row r="1086" spans="1:12" x14ac:dyDescent="0.3">
      <c r="A1086" s="1"/>
      <c r="B1086" s="65" t="s">
        <v>6</v>
      </c>
      <c r="C1086" s="18" t="s">
        <v>92</v>
      </c>
      <c r="D1086" s="19">
        <v>7.0000000000000007E-2</v>
      </c>
      <c r="E1086" s="36">
        <f>'THIẾT BỊ'!F7</f>
        <v>12000</v>
      </c>
      <c r="F1086" s="36">
        <f t="shared" si="105"/>
        <v>840.00000000000011</v>
      </c>
    </row>
    <row r="1087" spans="1:12" x14ac:dyDescent="0.3">
      <c r="A1087" s="1" t="s">
        <v>39</v>
      </c>
      <c r="B1087" s="33" t="s">
        <v>11</v>
      </c>
      <c r="C1087" s="38" t="s">
        <v>12</v>
      </c>
      <c r="D1087" s="33">
        <v>15</v>
      </c>
      <c r="E1087" s="37"/>
      <c r="F1087" s="37">
        <f>F1079*D1087%</f>
        <v>3223.2374999999997</v>
      </c>
      <c r="G1087" s="107"/>
      <c r="H1087" s="48"/>
      <c r="I1087" s="46"/>
      <c r="L1087" s="109"/>
    </row>
    <row r="1088" spans="1:12" x14ac:dyDescent="0.3">
      <c r="A1088" s="1"/>
      <c r="B1088" s="49" t="s">
        <v>85</v>
      </c>
      <c r="C1088" s="38"/>
      <c r="D1088" s="33"/>
      <c r="E1088" s="37"/>
      <c r="F1088" s="37">
        <f>F1079+F1087</f>
        <v>24711.487499999999</v>
      </c>
      <c r="G1088" s="107"/>
      <c r="H1088" s="42"/>
      <c r="I1088" s="42"/>
      <c r="J1088" s="41"/>
      <c r="K1088" s="41"/>
      <c r="L1088" s="41"/>
    </row>
  </sheetData>
  <mergeCells count="77">
    <mergeCell ref="B325:F325"/>
    <mergeCell ref="B1057:F1057"/>
    <mergeCell ref="B746:F746"/>
    <mergeCell ref="B976:F976"/>
    <mergeCell ref="B915:F915"/>
    <mergeCell ref="B930:F930"/>
    <mergeCell ref="B945:F945"/>
    <mergeCell ref="B946:F946"/>
    <mergeCell ref="B959:F959"/>
    <mergeCell ref="B850:F850"/>
    <mergeCell ref="B871:F871"/>
    <mergeCell ref="B872:F872"/>
    <mergeCell ref="B894:F894"/>
    <mergeCell ref="B767:F767"/>
    <mergeCell ref="B788:F788"/>
    <mergeCell ref="B809:F809"/>
    <mergeCell ref="B1058:F1058"/>
    <mergeCell ref="B373:F373"/>
    <mergeCell ref="B346:F346"/>
    <mergeCell ref="B368:F368"/>
    <mergeCell ref="B372:F372"/>
    <mergeCell ref="B371:F371"/>
    <mergeCell ref="B400:F400"/>
    <mergeCell ref="B401:F401"/>
    <mergeCell ref="B402:F402"/>
    <mergeCell ref="B399:F399"/>
    <mergeCell ref="B425:F425"/>
    <mergeCell ref="B427:F427"/>
    <mergeCell ref="B428:F428"/>
    <mergeCell ref="B711:F711"/>
    <mergeCell ref="B728:F728"/>
    <mergeCell ref="B745:F745"/>
    <mergeCell ref="B3:F3"/>
    <mergeCell ref="B25:F25"/>
    <mergeCell ref="B26:F26"/>
    <mergeCell ref="B1:F1"/>
    <mergeCell ref="B2:F2"/>
    <mergeCell ref="B24:F24"/>
    <mergeCell ref="B156:F156"/>
    <mergeCell ref="B50:F50"/>
    <mergeCell ref="B51:F51"/>
    <mergeCell ref="B52:F52"/>
    <mergeCell ref="B27:F27"/>
    <mergeCell ref="B48:F48"/>
    <mergeCell ref="B49:F49"/>
    <mergeCell ref="B430:F430"/>
    <mergeCell ref="B307:F307"/>
    <mergeCell ref="B75:F75"/>
    <mergeCell ref="B77:F77"/>
    <mergeCell ref="B78:F78"/>
    <mergeCell ref="B79:F79"/>
    <mergeCell ref="B101:F101"/>
    <mergeCell ref="B103:F103"/>
    <mergeCell ref="B104:F104"/>
    <mergeCell ref="B105:F105"/>
    <mergeCell ref="B128:F128"/>
    <mergeCell ref="B129:F129"/>
    <mergeCell ref="B130:F130"/>
    <mergeCell ref="B131:F131"/>
    <mergeCell ref="B132:F132"/>
    <mergeCell ref="B155:F155"/>
    <mergeCell ref="B810:F810"/>
    <mergeCell ref="B829:F829"/>
    <mergeCell ref="B157:F157"/>
    <mergeCell ref="B158:F158"/>
    <mergeCell ref="B159:F159"/>
    <mergeCell ref="B675:F675"/>
    <mergeCell ref="B695:F695"/>
    <mergeCell ref="B622:F622"/>
    <mergeCell ref="B559:F559"/>
    <mergeCell ref="B560:F560"/>
    <mergeCell ref="B577:F577"/>
    <mergeCell ref="B247:F247"/>
    <mergeCell ref="B268:F268"/>
    <mergeCell ref="B289:F289"/>
    <mergeCell ref="B621:F621"/>
    <mergeCell ref="B429:F4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D6EE7-9054-4AF5-B7FA-7E0C7718CEF5}">
  <dimension ref="A1:G11"/>
  <sheetViews>
    <sheetView zoomScale="115" zoomScaleNormal="115" workbookViewId="0">
      <selection sqref="A1:XFD1048576"/>
    </sheetView>
  </sheetViews>
  <sheetFormatPr defaultColWidth="8.85546875" defaultRowHeight="15.75" x14ac:dyDescent="0.25"/>
  <cols>
    <col min="1" max="1" width="6.140625" style="29" customWidth="1"/>
    <col min="2" max="2" width="8.7109375" style="29" customWidth="1"/>
    <col min="3" max="3" width="9.85546875" style="29" customWidth="1"/>
    <col min="4" max="4" width="14.5703125" style="123" customWidth="1"/>
    <col min="5" max="5" width="17.85546875" style="29" customWidth="1"/>
    <col min="6" max="6" width="14.140625" style="29" customWidth="1"/>
    <col min="7" max="7" width="16" style="29" customWidth="1"/>
    <col min="8" max="8" width="16.140625" style="29" customWidth="1"/>
    <col min="9" max="16384" width="8.85546875" style="29"/>
  </cols>
  <sheetData>
    <row r="1" spans="1:7" x14ac:dyDescent="0.25">
      <c r="A1" s="175" t="s">
        <v>42</v>
      </c>
      <c r="B1" s="175"/>
      <c r="C1" s="175"/>
      <c r="D1" s="175"/>
      <c r="E1" s="175"/>
      <c r="F1" s="175"/>
      <c r="G1" s="175"/>
    </row>
    <row r="2" spans="1:7" x14ac:dyDescent="0.25">
      <c r="F2" s="107" t="s">
        <v>20</v>
      </c>
      <c r="G2" s="124">
        <v>1800000</v>
      </c>
    </row>
    <row r="4" spans="1:7" ht="31.5" x14ac:dyDescent="0.25">
      <c r="A4" s="125" t="s">
        <v>0</v>
      </c>
      <c r="B4" s="126" t="s">
        <v>21</v>
      </c>
      <c r="C4" s="125" t="s">
        <v>22</v>
      </c>
      <c r="D4" s="127" t="s">
        <v>23</v>
      </c>
      <c r="E4" s="126" t="s">
        <v>26</v>
      </c>
      <c r="F4" s="125" t="s">
        <v>24</v>
      </c>
      <c r="G4" s="126" t="s">
        <v>25</v>
      </c>
    </row>
    <row r="5" spans="1:7" x14ac:dyDescent="0.25">
      <c r="A5" s="128">
        <v>1</v>
      </c>
      <c r="B5" s="129">
        <v>1</v>
      </c>
      <c r="C5" s="129">
        <v>2.34</v>
      </c>
      <c r="D5" s="101">
        <f t="shared" ref="D5:D11" si="0">$G$2*C5</f>
        <v>4212000</v>
      </c>
      <c r="E5" s="130">
        <f>D5*23.5%</f>
        <v>989820</v>
      </c>
      <c r="F5" s="130">
        <f>E5+D5</f>
        <v>5201820</v>
      </c>
      <c r="G5" s="130">
        <f>F5/26</f>
        <v>200070</v>
      </c>
    </row>
    <row r="6" spans="1:7" x14ac:dyDescent="0.25">
      <c r="A6" s="128">
        <v>2</v>
      </c>
      <c r="B6" s="129">
        <v>2</v>
      </c>
      <c r="C6" s="129">
        <v>2.67</v>
      </c>
      <c r="D6" s="101">
        <f t="shared" si="0"/>
        <v>4806000</v>
      </c>
      <c r="E6" s="130">
        <f t="shared" ref="E6:E11" si="1">D6*23.5%</f>
        <v>1129410</v>
      </c>
      <c r="F6" s="130">
        <f t="shared" ref="F6:F11" si="2">E6+D6</f>
        <v>5935410</v>
      </c>
      <c r="G6" s="130">
        <f t="shared" ref="G6:G11" si="3">F6/26</f>
        <v>228285</v>
      </c>
    </row>
    <row r="7" spans="1:7" x14ac:dyDescent="0.25">
      <c r="A7" s="128">
        <v>3</v>
      </c>
      <c r="B7" s="129">
        <v>3</v>
      </c>
      <c r="C7" s="131">
        <v>3</v>
      </c>
      <c r="D7" s="101">
        <f t="shared" si="0"/>
        <v>5400000</v>
      </c>
      <c r="E7" s="130">
        <f t="shared" si="1"/>
        <v>1269000</v>
      </c>
      <c r="F7" s="130">
        <f t="shared" si="2"/>
        <v>6669000</v>
      </c>
      <c r="G7" s="130">
        <f t="shared" si="3"/>
        <v>256500</v>
      </c>
    </row>
    <row r="8" spans="1:7" x14ac:dyDescent="0.25">
      <c r="A8" s="128">
        <v>4</v>
      </c>
      <c r="B8" s="129">
        <v>4</v>
      </c>
      <c r="C8" s="129">
        <v>3.33</v>
      </c>
      <c r="D8" s="101">
        <f t="shared" si="0"/>
        <v>5994000</v>
      </c>
      <c r="E8" s="130">
        <f t="shared" si="1"/>
        <v>1408590</v>
      </c>
      <c r="F8" s="130">
        <f t="shared" si="2"/>
        <v>7402590</v>
      </c>
      <c r="G8" s="130">
        <f t="shared" si="3"/>
        <v>284715</v>
      </c>
    </row>
    <row r="9" spans="1:7" x14ac:dyDescent="0.25">
      <c r="A9" s="128">
        <v>5</v>
      </c>
      <c r="B9" s="129">
        <v>5</v>
      </c>
      <c r="C9" s="129">
        <v>3.66</v>
      </c>
      <c r="D9" s="101">
        <f t="shared" si="0"/>
        <v>6588000</v>
      </c>
      <c r="E9" s="130">
        <f t="shared" si="1"/>
        <v>1548180</v>
      </c>
      <c r="F9" s="130">
        <f t="shared" si="2"/>
        <v>8136180</v>
      </c>
      <c r="G9" s="130">
        <f t="shared" si="3"/>
        <v>312930</v>
      </c>
    </row>
    <row r="10" spans="1:7" x14ac:dyDescent="0.25">
      <c r="A10" s="128">
        <v>6</v>
      </c>
      <c r="B10" s="129">
        <v>6</v>
      </c>
      <c r="C10" s="129">
        <v>3.99</v>
      </c>
      <c r="D10" s="101">
        <f t="shared" si="0"/>
        <v>7182000</v>
      </c>
      <c r="E10" s="130">
        <f t="shared" si="1"/>
        <v>1687770</v>
      </c>
      <c r="F10" s="130">
        <f t="shared" si="2"/>
        <v>8869770</v>
      </c>
      <c r="G10" s="130">
        <f t="shared" si="3"/>
        <v>341145</v>
      </c>
    </row>
    <row r="11" spans="1:7" x14ac:dyDescent="0.25">
      <c r="A11" s="128">
        <v>7</v>
      </c>
      <c r="B11" s="129">
        <v>7</v>
      </c>
      <c r="C11" s="129">
        <v>4.32</v>
      </c>
      <c r="D11" s="101">
        <f t="shared" si="0"/>
        <v>7776000.0000000009</v>
      </c>
      <c r="E11" s="130">
        <f t="shared" si="1"/>
        <v>1827360</v>
      </c>
      <c r="F11" s="130">
        <f t="shared" si="2"/>
        <v>9603360</v>
      </c>
      <c r="G11" s="130">
        <f t="shared" si="3"/>
        <v>369360</v>
      </c>
    </row>
  </sheetData>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3D1D-575B-4CA9-819D-989BA43BF17D}">
  <dimension ref="A1:G12"/>
  <sheetViews>
    <sheetView topLeftCell="A4" workbookViewId="0">
      <selection activeCell="A4" sqref="A1:XFD1048576"/>
    </sheetView>
  </sheetViews>
  <sheetFormatPr defaultColWidth="8.85546875" defaultRowHeight="15" x14ac:dyDescent="0.25"/>
  <cols>
    <col min="1" max="1" width="6.42578125" style="132" customWidth="1"/>
    <col min="2" max="2" width="18.42578125" style="132" bestFit="1" customWidth="1"/>
    <col min="3" max="3" width="13.85546875" style="139" bestFit="1" customWidth="1"/>
    <col min="4" max="4" width="10.140625" style="132" customWidth="1"/>
    <col min="5" max="5" width="13.85546875" style="132" customWidth="1"/>
    <col min="6" max="6" width="11.85546875" style="132" customWidth="1"/>
    <col min="7" max="7" width="50" style="132" customWidth="1"/>
    <col min="8" max="16384" width="8.85546875" style="132"/>
  </cols>
  <sheetData>
    <row r="1" spans="1:7" ht="18.75" x14ac:dyDescent="0.25">
      <c r="A1" s="176" t="s">
        <v>43</v>
      </c>
      <c r="B1" s="176"/>
      <c r="C1" s="176"/>
      <c r="D1" s="176"/>
      <c r="E1" s="176"/>
      <c r="F1" s="176"/>
      <c r="G1" s="176"/>
    </row>
    <row r="3" spans="1:7" ht="18.75" x14ac:dyDescent="0.25">
      <c r="A3" s="170" t="s">
        <v>40</v>
      </c>
      <c r="B3" s="170"/>
      <c r="C3" s="170"/>
      <c r="D3" s="170"/>
      <c r="E3" s="170"/>
      <c r="F3" s="170"/>
      <c r="G3" s="170"/>
    </row>
    <row r="4" spans="1:7" ht="18.75" x14ac:dyDescent="0.25">
      <c r="A4" s="170" t="s">
        <v>41</v>
      </c>
      <c r="B4" s="170"/>
      <c r="C4" s="170"/>
      <c r="D4" s="170"/>
      <c r="E4" s="170"/>
      <c r="F4" s="170"/>
      <c r="G4" s="170"/>
    </row>
    <row r="6" spans="1:7" ht="63" x14ac:dyDescent="0.25">
      <c r="A6" s="126" t="s">
        <v>0</v>
      </c>
      <c r="B6" s="126" t="s">
        <v>28</v>
      </c>
      <c r="C6" s="127" t="s">
        <v>32</v>
      </c>
      <c r="D6" s="126" t="s">
        <v>33</v>
      </c>
      <c r="E6" s="126" t="s">
        <v>35</v>
      </c>
      <c r="F6" s="126" t="s">
        <v>34</v>
      </c>
      <c r="G6" s="133"/>
    </row>
    <row r="7" spans="1:7" ht="15.75" x14ac:dyDescent="0.25">
      <c r="A7" s="134">
        <v>1</v>
      </c>
      <c r="B7" s="135" t="s">
        <v>6</v>
      </c>
      <c r="C7" s="136">
        <v>15000000</v>
      </c>
      <c r="D7" s="135">
        <v>5</v>
      </c>
      <c r="E7" s="135">
        <v>250</v>
      </c>
      <c r="F7" s="137">
        <f>C7/(D7*E7)</f>
        <v>12000</v>
      </c>
      <c r="G7" s="138" t="s">
        <v>37</v>
      </c>
    </row>
    <row r="8" spans="1:7" ht="15.75" x14ac:dyDescent="0.25">
      <c r="A8" s="134">
        <v>2</v>
      </c>
      <c r="B8" s="135" t="s">
        <v>7</v>
      </c>
      <c r="C8" s="136">
        <v>10000000</v>
      </c>
      <c r="D8" s="135">
        <v>5</v>
      </c>
      <c r="E8" s="135">
        <v>250</v>
      </c>
      <c r="F8" s="137">
        <f t="shared" ref="F8:F12" si="0">C8/(D8*E8)</f>
        <v>8000</v>
      </c>
      <c r="G8" s="138" t="s">
        <v>37</v>
      </c>
    </row>
    <row r="9" spans="1:7" ht="15.75" x14ac:dyDescent="0.25">
      <c r="A9" s="134">
        <v>3</v>
      </c>
      <c r="B9" s="135" t="s">
        <v>55</v>
      </c>
      <c r="C9" s="136">
        <v>300000</v>
      </c>
      <c r="D9" s="135">
        <v>5</v>
      </c>
      <c r="E9" s="135">
        <v>250</v>
      </c>
      <c r="F9" s="137">
        <f t="shared" si="0"/>
        <v>240</v>
      </c>
      <c r="G9" s="138" t="s">
        <v>37</v>
      </c>
    </row>
    <row r="10" spans="1:7" ht="15.75" x14ac:dyDescent="0.25">
      <c r="A10" s="134">
        <v>4</v>
      </c>
      <c r="B10" s="135" t="s">
        <v>60</v>
      </c>
      <c r="C10" s="136">
        <v>2000000</v>
      </c>
      <c r="D10" s="135">
        <v>5</v>
      </c>
      <c r="E10" s="135">
        <v>250</v>
      </c>
      <c r="F10" s="137">
        <f t="shared" si="0"/>
        <v>1600</v>
      </c>
      <c r="G10" s="138" t="s">
        <v>49</v>
      </c>
    </row>
    <row r="11" spans="1:7" ht="15.75" x14ac:dyDescent="0.25">
      <c r="A11" s="134">
        <v>5</v>
      </c>
      <c r="B11" s="135" t="s">
        <v>54</v>
      </c>
      <c r="C11" s="136">
        <v>15000000</v>
      </c>
      <c r="D11" s="135">
        <v>5</v>
      </c>
      <c r="E11" s="135">
        <v>250</v>
      </c>
      <c r="F11" s="137">
        <f t="shared" si="0"/>
        <v>12000</v>
      </c>
      <c r="G11" s="138" t="s">
        <v>49</v>
      </c>
    </row>
    <row r="12" spans="1:7" ht="15.75" x14ac:dyDescent="0.25">
      <c r="A12" s="134">
        <v>6</v>
      </c>
      <c r="B12" s="135" t="s">
        <v>8</v>
      </c>
      <c r="C12" s="136">
        <v>3500000</v>
      </c>
      <c r="D12" s="135">
        <v>5</v>
      </c>
      <c r="E12" s="135">
        <v>250</v>
      </c>
      <c r="F12" s="137">
        <f t="shared" si="0"/>
        <v>2800</v>
      </c>
      <c r="G12" s="138" t="s">
        <v>49</v>
      </c>
    </row>
  </sheetData>
  <mergeCells count="3">
    <mergeCell ref="A3:G3"/>
    <mergeCell ref="A4:G4"/>
    <mergeCell ref="A1:G1"/>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EEC5-A209-41D5-9DC6-F1C29492DAE3}">
  <dimension ref="A1:E14"/>
  <sheetViews>
    <sheetView workbookViewId="0">
      <selection activeCell="H9" sqref="H9"/>
    </sheetView>
  </sheetViews>
  <sheetFormatPr defaultColWidth="8.85546875" defaultRowHeight="15" x14ac:dyDescent="0.25"/>
  <cols>
    <col min="1" max="1" width="5.140625" style="132" bestFit="1" customWidth="1"/>
    <col min="2" max="2" width="30" style="132" customWidth="1"/>
    <col min="3" max="3" width="21" style="132" customWidth="1"/>
    <col min="4" max="4" width="14.5703125" style="139" customWidth="1"/>
    <col min="5" max="5" width="26.140625" style="132" bestFit="1" customWidth="1"/>
    <col min="6" max="16384" width="8.85546875" style="132"/>
  </cols>
  <sheetData>
    <row r="1" spans="1:5" ht="15.75" x14ac:dyDescent="0.25">
      <c r="A1" s="177" t="s">
        <v>44</v>
      </c>
      <c r="B1" s="177"/>
      <c r="C1" s="177"/>
      <c r="D1" s="177"/>
      <c r="E1" s="177"/>
    </row>
    <row r="2" spans="1:5" ht="15.75" x14ac:dyDescent="0.25">
      <c r="A2" s="29"/>
      <c r="B2" s="29"/>
      <c r="C2" s="29"/>
      <c r="D2" s="123"/>
      <c r="E2" s="29"/>
    </row>
    <row r="3" spans="1:5" ht="15.75" x14ac:dyDescent="0.25">
      <c r="A3" s="29"/>
      <c r="B3" s="29"/>
      <c r="C3" s="29"/>
      <c r="D3" s="123"/>
      <c r="E3" s="29"/>
    </row>
    <row r="4" spans="1:5" ht="15.75" x14ac:dyDescent="0.25">
      <c r="A4" s="125" t="s">
        <v>0</v>
      </c>
      <c r="B4" s="125" t="s">
        <v>29</v>
      </c>
      <c r="C4" s="125" t="s">
        <v>2</v>
      </c>
      <c r="D4" s="140" t="s">
        <v>30</v>
      </c>
      <c r="E4" s="125" t="s">
        <v>31</v>
      </c>
    </row>
    <row r="5" spans="1:5" ht="15.75" x14ac:dyDescent="0.25">
      <c r="A5" s="128">
        <v>1</v>
      </c>
      <c r="B5" s="129" t="s">
        <v>9</v>
      </c>
      <c r="C5" s="134" t="s">
        <v>15</v>
      </c>
      <c r="D5" s="101">
        <v>90000</v>
      </c>
      <c r="E5" s="129" t="s">
        <v>49</v>
      </c>
    </row>
    <row r="6" spans="1:5" ht="15.75" x14ac:dyDescent="0.25">
      <c r="A6" s="128">
        <v>2</v>
      </c>
      <c r="B6" s="129" t="s">
        <v>10</v>
      </c>
      <c r="C6" s="134" t="s">
        <v>16</v>
      </c>
      <c r="D6" s="101">
        <v>900000</v>
      </c>
      <c r="E6" s="129" t="s">
        <v>49</v>
      </c>
    </row>
    <row r="7" spans="1:5" ht="15.75" x14ac:dyDescent="0.25">
      <c r="A7" s="128">
        <v>3</v>
      </c>
      <c r="B7" s="129" t="s">
        <v>53</v>
      </c>
      <c r="C7" s="141" t="s">
        <v>68</v>
      </c>
      <c r="D7" s="101">
        <v>95000</v>
      </c>
      <c r="E7" s="129" t="s">
        <v>49</v>
      </c>
    </row>
    <row r="8" spans="1:5" ht="15.75" x14ac:dyDescent="0.25">
      <c r="A8" s="128">
        <v>4</v>
      </c>
      <c r="B8" s="129" t="s">
        <v>56</v>
      </c>
      <c r="C8" s="134" t="s">
        <v>57</v>
      </c>
      <c r="D8" s="101">
        <v>1000</v>
      </c>
      <c r="E8" s="129" t="s">
        <v>49</v>
      </c>
    </row>
    <row r="9" spans="1:5" ht="15.75" x14ac:dyDescent="0.25">
      <c r="A9" s="128">
        <v>5</v>
      </c>
      <c r="B9" s="129" t="s">
        <v>58</v>
      </c>
      <c r="C9" s="134" t="s">
        <v>59</v>
      </c>
      <c r="D9" s="101">
        <v>15000</v>
      </c>
      <c r="E9" s="129" t="s">
        <v>49</v>
      </c>
    </row>
    <row r="10" spans="1:5" ht="15.75" x14ac:dyDescent="0.25">
      <c r="A10" s="128">
        <v>6</v>
      </c>
      <c r="B10" s="129" t="s">
        <v>61</v>
      </c>
      <c r="C10" s="134" t="s">
        <v>62</v>
      </c>
      <c r="D10" s="101">
        <v>15000</v>
      </c>
      <c r="E10" s="129" t="s">
        <v>49</v>
      </c>
    </row>
    <row r="11" spans="1:5" ht="15.75" x14ac:dyDescent="0.25">
      <c r="A11" s="128">
        <v>7</v>
      </c>
      <c r="B11" s="129" t="s">
        <v>63</v>
      </c>
      <c r="C11" s="134" t="s">
        <v>64</v>
      </c>
      <c r="D11" s="101">
        <v>20000</v>
      </c>
      <c r="E11" s="129" t="s">
        <v>49</v>
      </c>
    </row>
    <row r="12" spans="1:5" ht="15.75" x14ac:dyDescent="0.25">
      <c r="A12" s="128">
        <v>8</v>
      </c>
      <c r="B12" s="129" t="s">
        <v>65</v>
      </c>
      <c r="C12" s="134" t="s">
        <v>64</v>
      </c>
      <c r="D12" s="101">
        <v>20000</v>
      </c>
      <c r="E12" s="129" t="s">
        <v>49</v>
      </c>
    </row>
    <row r="13" spans="1:5" ht="15.75" x14ac:dyDescent="0.25">
      <c r="A13" s="128">
        <v>9</v>
      </c>
      <c r="B13" s="129" t="s">
        <v>66</v>
      </c>
      <c r="C13" s="134" t="s">
        <v>67</v>
      </c>
      <c r="D13" s="101">
        <v>5000</v>
      </c>
      <c r="E13" s="129" t="s">
        <v>49</v>
      </c>
    </row>
    <row r="14" spans="1:5" ht="15.75" x14ac:dyDescent="0.25">
      <c r="A14" s="142">
        <v>10</v>
      </c>
      <c r="B14" s="87" t="s">
        <v>257</v>
      </c>
      <c r="C14" s="143" t="s">
        <v>64</v>
      </c>
      <c r="D14" s="123">
        <v>200</v>
      </c>
      <c r="E14" s="129" t="s">
        <v>49</v>
      </c>
    </row>
  </sheetData>
  <mergeCells count="1">
    <mergeCell ref="A1:E1"/>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B2A7AB-5998-40D0-989E-F7CF39A42989}"/>
</file>

<file path=customXml/itemProps2.xml><?xml version="1.0" encoding="utf-8"?>
<ds:datastoreItem xmlns:ds="http://schemas.openxmlformats.org/officeDocument/2006/customXml" ds:itemID="{9B8A2205-B2F3-4D0F-9ED8-4B1EB909F525}"/>
</file>

<file path=customXml/itemProps3.xml><?xml version="1.0" encoding="utf-8"?>
<ds:datastoreItem xmlns:ds="http://schemas.openxmlformats.org/officeDocument/2006/customXml" ds:itemID="{87BEF9EB-D837-4394-A17E-6C53F6BC03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40</vt:i4>
      </vt:variant>
    </vt:vector>
  </HeadingPairs>
  <TitlesOfParts>
    <vt:vector size="45" baseType="lpstr">
      <vt:lpstr>TỔNG HỢP</vt:lpstr>
      <vt:lpstr>ĐƠN GIÁ</vt:lpstr>
      <vt:lpstr>NHÂN CÔNG</vt:lpstr>
      <vt:lpstr>THIẾT BỊ</vt:lpstr>
      <vt:lpstr>VẬT LIỆU</vt:lpstr>
      <vt:lpstr>'ĐƠN GIÁ'!bookmark1009</vt:lpstr>
      <vt:lpstr>'ĐƠN GIÁ'!bookmark1030</vt:lpstr>
      <vt:lpstr>'ĐƠN GIÁ'!bookmark1051</vt:lpstr>
      <vt:lpstr>'ĐƠN GIÁ'!bookmark322</vt:lpstr>
      <vt:lpstr>'ĐƠN GIÁ'!bookmark344</vt:lpstr>
      <vt:lpstr>'ĐƠN GIÁ'!bookmark369</vt:lpstr>
      <vt:lpstr>'ĐƠN GIÁ'!bookmark391</vt:lpstr>
      <vt:lpstr>'ĐƠN GIÁ'!bookmark411</vt:lpstr>
      <vt:lpstr>'ĐƠN GIÁ'!bookmark493</vt:lpstr>
      <vt:lpstr>'ĐƠN GIÁ'!bookmark497</vt:lpstr>
      <vt:lpstr>'ĐƠN GIÁ'!bookmark529</vt:lpstr>
      <vt:lpstr>'ĐƠN GIÁ'!bookmark530</vt:lpstr>
      <vt:lpstr>'ĐƠN GIÁ'!bookmark533</vt:lpstr>
      <vt:lpstr>'ĐƠN GIÁ'!bookmark583</vt:lpstr>
      <vt:lpstr>'ĐƠN GIÁ'!bookmark584</vt:lpstr>
      <vt:lpstr>'ĐƠN GIÁ'!bookmark617</vt:lpstr>
      <vt:lpstr>'ĐƠN GIÁ'!bookmark642</vt:lpstr>
      <vt:lpstr>'ĐƠN GIÁ'!bookmark655</vt:lpstr>
      <vt:lpstr>'ĐƠN GIÁ'!bookmark667</vt:lpstr>
      <vt:lpstr>'ĐƠN GIÁ'!bookmark670</vt:lpstr>
      <vt:lpstr>'ĐƠN GIÁ'!bookmark696</vt:lpstr>
      <vt:lpstr>'ĐƠN GIÁ'!bookmark723</vt:lpstr>
      <vt:lpstr>'ĐƠN GIÁ'!bookmark767</vt:lpstr>
      <vt:lpstr>'ĐƠN GIÁ'!bookmark785</vt:lpstr>
      <vt:lpstr>'ĐƠN GIÁ'!bookmark800</vt:lpstr>
      <vt:lpstr>'ĐƠN GIÁ'!bookmark836</vt:lpstr>
      <vt:lpstr>'ĐƠN GIÁ'!bookmark849</vt:lpstr>
      <vt:lpstr>'ĐƠN GIÁ'!bookmark887</vt:lpstr>
      <vt:lpstr>'ĐƠN GIÁ'!bookmark918</vt:lpstr>
      <vt:lpstr>'ĐƠN GIÁ'!bookmark935</vt:lpstr>
      <vt:lpstr>'ĐƠN GIÁ'!bookmark948</vt:lpstr>
      <vt:lpstr>'ĐƠN GIÁ'!bookmark967</vt:lpstr>
      <vt:lpstr>'ĐƠN GIÁ'!bookmark980</vt:lpstr>
      <vt:lpstr>'ĐƠN GIÁ'!bookmark994</vt:lpstr>
      <vt:lpstr>'ĐƠN GIÁ'!dieu_1_2</vt:lpstr>
      <vt:lpstr>'ĐƠN GIÁ'!dieu_1_3</vt:lpstr>
      <vt:lpstr>'ĐƠN GIÁ'!dieu_2_2</vt:lpstr>
      <vt:lpstr>'ĐƠN GIÁ'!dieu_2_3</vt:lpstr>
      <vt:lpstr>'ĐƠN GIÁ'!dieu_3_2</vt:lpstr>
      <vt:lpstr>'ĐƠN GIÁ'!muc_2_1_name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 DOAN</dc:creator>
  <cp:lastModifiedBy>BUU DIEN</cp:lastModifiedBy>
  <cp:lastPrinted>2023-05-04T09:39:56Z</cp:lastPrinted>
  <dcterms:created xsi:type="dcterms:W3CDTF">2023-04-20T04:10:19Z</dcterms:created>
  <dcterms:modified xsi:type="dcterms:W3CDTF">2023-07-20T07:16:11Z</dcterms:modified>
</cp:coreProperties>
</file>