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xl/comments2.xml" ContentType="application/vnd.openxmlformats-officedocument.spreadsheetml.comments+xml"/>
  <Override PartName="/docProps/app.xml" ContentType="application/vnd.openxmlformats-officedocument.extended-properties+xml"/>
  <Override PartName="/xl/comments7.xml" ContentType="application/vnd.openxmlformats-officedocument.spreadsheetml.comments+xml"/>
  <Override PartName="/xl/calcChain.xml" ContentType="application/vnd.openxmlformats-officedocument.spreadsheetml.calcChain+xml"/>
  <Override PartName="/xl/tables/table10.xml" ContentType="application/vnd.openxmlformats-officedocument.spreadsheetml.table+xml"/>
  <Override PartName="/xl/externalLinks/externalLink1.xml" ContentType="application/vnd.openxmlformats-officedocument.spreadsheetml.externalLink+xml"/>
  <Override PartName="/xl/tables/table1.xml" ContentType="application/vnd.openxmlformats-officedocument.spreadsheetml.table+xml"/>
  <Override PartName="/xl/tables/table3.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comments1.xml" ContentType="application/vnd.openxmlformats-officedocument.spreadsheetml.comments+xml"/>
  <Override PartName="/xl/comments3.xml" ContentType="application/vnd.openxmlformats-officedocument.spreadsheetml.comments+xml"/>
  <Override PartName="/xl/tables/table4.xml" ContentType="application/vnd.openxmlformats-officedocument.spreadsheetml.table+xml"/>
  <Override PartName="/xl/tables/table2.xml" ContentType="application/vnd.openxmlformats-officedocument.spreadsheetml.table+xml"/>
  <Override PartName="/xl/tables/table6.xml" ContentType="application/vnd.openxmlformats-officedocument.spreadsheetml.table+xml"/>
  <Override PartName="/xl/comments5.xml" ContentType="application/vnd.openxmlformats-officedocument.spreadsheetml.comments+xml"/>
  <Override PartName="/xl/tables/table9.xml" ContentType="application/vnd.openxmlformats-officedocument.spreadsheetml.table+xml"/>
  <Override PartName="/xl/tables/table8.xml" ContentType="application/vnd.openxmlformats-officedocument.spreadsheetml.table+xml"/>
  <Override PartName="/xl/comments6.xml" ContentType="application/vnd.openxmlformats-officedocument.spreadsheetml.comments+xml"/>
  <Override PartName="/xl/tables/table7.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0115" windowHeight="7740" tabRatio="816"/>
  </bookViews>
  <sheets>
    <sheet name="DG-TONG" sheetId="1" r:id="rId1"/>
    <sheet name="THIETBI" sheetId="3" r:id="rId2"/>
    <sheet name="DUNGCU" sheetId="4" r:id="rId3"/>
    <sheet name="VATLIEU" sheetId="2" r:id="rId4"/>
    <sheet name="DIENNANG" sheetId="5" r:id="rId5"/>
    <sheet name="NHANCONG" sheetId="8" r:id="rId6"/>
    <sheet name="LUONGNGAY" sheetId="10" r:id="rId7"/>
    <sheet name="THIETBI-TT26" sheetId="6" r:id="rId8"/>
    <sheet name="LUONGNGAY-TT26" sheetId="9" r:id="rId9"/>
    <sheet name="DONGIA" sheetId="11" r:id="rId10"/>
  </sheets>
  <externalReferences>
    <externalReference r:id="rId11"/>
  </externalReferences>
  <definedNames>
    <definedName name="_xlnm._FilterDatabase" localSheetId="0" hidden="1">'DG-TONG'!$A$7:$L$174</definedName>
    <definedName name="_xlnm._FilterDatabase" localSheetId="4" hidden="1">DIENNANG!$A$7:$G$304</definedName>
    <definedName name="_xlnm._FilterDatabase" localSheetId="2" hidden="1">DUNGCU!$A$6:$I$459</definedName>
    <definedName name="_xlnm._FilterDatabase" localSheetId="6" hidden="1">LUONGNGAY!$A$7:$P$106</definedName>
    <definedName name="_xlnm._FilterDatabase" localSheetId="5" hidden="1">NHANCONG!$A$7:$H$349</definedName>
    <definedName name="_xlnm._FilterDatabase" localSheetId="1" hidden="1">THIETBI!$A$7:$J$409</definedName>
    <definedName name="_xlnm._FilterDatabase" localSheetId="7" hidden="1">'THIETBI-TT26'!$A$8:$J$94</definedName>
    <definedName name="_xlnm._FilterDatabase" localSheetId="3" hidden="1">VATLIEU!$A$6:$G$371</definedName>
    <definedName name="dc_14" localSheetId="0">'DG-TONG'!$N$11</definedName>
    <definedName name="dc_15" localSheetId="0">'DG-TONG'!$N$131</definedName>
    <definedName name="dc_16" localSheetId="0">'DG-TONG'!$N$183</definedName>
    <definedName name="dc_17" localSheetId="0">'DG-TONG'!$N$276</definedName>
    <definedName name="dc_18" localSheetId="0">'DG-TONG'!$N$313</definedName>
  </definedNames>
  <calcPr calcId="145621"/>
</workbook>
</file>

<file path=xl/calcChain.xml><?xml version="1.0" encoding="utf-8"?>
<calcChain xmlns="http://schemas.openxmlformats.org/spreadsheetml/2006/main">
  <c r="G10" i="1" l="1"/>
  <c r="F10" i="1"/>
  <c r="H362" i="1" l="1"/>
  <c r="H361" i="1"/>
  <c r="H360" i="1"/>
  <c r="H359" i="1"/>
  <c r="H357" i="1"/>
  <c r="H354" i="1"/>
  <c r="H353" i="1"/>
  <c r="H352" i="1"/>
  <c r="H351" i="1"/>
  <c r="H349" i="1"/>
  <c r="H346" i="1"/>
  <c r="H345" i="1"/>
  <c r="H344" i="1"/>
  <c r="H343" i="1"/>
  <c r="H341" i="1"/>
  <c r="H337" i="1"/>
  <c r="H336" i="1"/>
  <c r="H335" i="1"/>
  <c r="H333" i="1"/>
  <c r="H325" i="1"/>
  <c r="H324" i="1"/>
  <c r="H322" i="1"/>
  <c r="H10" i="1"/>
  <c r="H71" i="1"/>
  <c r="H72" i="1"/>
  <c r="H73" i="1"/>
  <c r="H76" i="1"/>
  <c r="H77" i="1"/>
  <c r="H78" i="1"/>
  <c r="H81" i="1"/>
  <c r="H82" i="1"/>
  <c r="H83" i="1"/>
  <c r="H87" i="1"/>
  <c r="H88" i="1"/>
  <c r="H102" i="1" s="1"/>
  <c r="H89" i="1"/>
  <c r="H90" i="1"/>
  <c r="H104" i="1" s="1"/>
  <c r="H91" i="1"/>
  <c r="H92" i="1"/>
  <c r="H106" i="1" s="1"/>
  <c r="H93" i="1"/>
  <c r="H94" i="1"/>
  <c r="H108" i="1" s="1"/>
  <c r="H95" i="1"/>
  <c r="H96" i="1"/>
  <c r="H110" i="1" s="1"/>
  <c r="H97" i="1"/>
  <c r="H98" i="1"/>
  <c r="H112" i="1" s="1"/>
  <c r="H99" i="1"/>
  <c r="H101" i="1"/>
  <c r="H103" i="1"/>
  <c r="H105" i="1"/>
  <c r="H107" i="1"/>
  <c r="H109" i="1"/>
  <c r="H111" i="1"/>
  <c r="H113" i="1"/>
  <c r="H115" i="1"/>
  <c r="H116" i="1"/>
  <c r="H117" i="1"/>
  <c r="H118" i="1"/>
  <c r="H119" i="1"/>
  <c r="H120" i="1"/>
  <c r="H121" i="1"/>
  <c r="H122" i="1"/>
  <c r="H123" i="1"/>
  <c r="H124" i="1"/>
  <c r="H125" i="1"/>
  <c r="H126" i="1"/>
  <c r="H127" i="1"/>
  <c r="H129" i="1"/>
  <c r="H130" i="1"/>
  <c r="H159" i="1"/>
  <c r="H163" i="1"/>
  <c r="H164" i="1"/>
  <c r="H166" i="1"/>
  <c r="H167" i="1"/>
  <c r="H169" i="1"/>
  <c r="H170" i="1"/>
  <c r="H173" i="1"/>
  <c r="H176" i="1" s="1"/>
  <c r="H179" i="1"/>
  <c r="H182" i="1"/>
  <c r="H183" i="1"/>
  <c r="H184" i="1"/>
  <c r="H185" i="1"/>
  <c r="H190" i="1"/>
  <c r="H191" i="1"/>
  <c r="H192" i="1"/>
  <c r="H193" i="1"/>
  <c r="H194" i="1"/>
  <c r="H195" i="1"/>
  <c r="H197" i="1"/>
  <c r="H198" i="1"/>
  <c r="H199" i="1"/>
  <c r="H200" i="1"/>
  <c r="H201" i="1"/>
  <c r="H202" i="1"/>
  <c r="H204" i="1"/>
  <c r="H205" i="1"/>
  <c r="H206" i="1"/>
  <c r="H207" i="1"/>
  <c r="H208" i="1"/>
  <c r="H209" i="1"/>
  <c r="H211" i="1"/>
  <c r="H212" i="1"/>
  <c r="H213" i="1"/>
  <c r="H214" i="1"/>
  <c r="H215" i="1"/>
  <c r="H216" i="1"/>
  <c r="H218" i="1"/>
  <c r="H219" i="1"/>
  <c r="H220" i="1"/>
  <c r="H221" i="1"/>
  <c r="H222" i="1"/>
  <c r="H223" i="1"/>
  <c r="H225" i="1"/>
  <c r="H226" i="1"/>
  <c r="H227" i="1"/>
  <c r="H228" i="1"/>
  <c r="H229" i="1"/>
  <c r="H230" i="1"/>
  <c r="H319" i="1"/>
  <c r="H315" i="1"/>
  <c r="H316" i="1"/>
  <c r="H317" i="1"/>
  <c r="H318" i="1"/>
  <c r="H314" i="1"/>
  <c r="H284" i="1"/>
  <c r="H278" i="1"/>
  <c r="H279" i="1"/>
  <c r="H280" i="1"/>
  <c r="H281" i="1"/>
  <c r="H277" i="1"/>
  <c r="H275" i="1"/>
  <c r="H269" i="1"/>
  <c r="H270" i="1"/>
  <c r="H271" i="1"/>
  <c r="H272" i="1"/>
  <c r="H273" i="1"/>
  <c r="H268" i="1"/>
  <c r="H262" i="1"/>
  <c r="H263" i="1"/>
  <c r="H264" i="1"/>
  <c r="H265" i="1"/>
  <c r="H266" i="1"/>
  <c r="H261" i="1"/>
  <c r="H255" i="1"/>
  <c r="H256" i="1"/>
  <c r="H257" i="1"/>
  <c r="H258" i="1"/>
  <c r="H259" i="1"/>
  <c r="H254" i="1"/>
  <c r="H248" i="1"/>
  <c r="H249" i="1"/>
  <c r="H250" i="1"/>
  <c r="H251" i="1"/>
  <c r="H252" i="1"/>
  <c r="H247" i="1"/>
  <c r="H241" i="1"/>
  <c r="H242" i="1"/>
  <c r="H243" i="1"/>
  <c r="H244" i="1"/>
  <c r="H245" i="1"/>
  <c r="H240" i="1"/>
  <c r="H234" i="1"/>
  <c r="H235" i="1"/>
  <c r="H236" i="1"/>
  <c r="H237" i="1"/>
  <c r="H238" i="1"/>
  <c r="H233" i="1"/>
  <c r="G362" i="1"/>
  <c r="G361" i="1"/>
  <c r="G360" i="1"/>
  <c r="G359" i="1"/>
  <c r="G357" i="1"/>
  <c r="G354" i="1"/>
  <c r="G353" i="1"/>
  <c r="G352" i="1"/>
  <c r="G351" i="1"/>
  <c r="G349" i="1"/>
  <c r="G346" i="1"/>
  <c r="G345" i="1"/>
  <c r="G344" i="1"/>
  <c r="G343" i="1"/>
  <c r="G341" i="1"/>
  <c r="G338" i="1"/>
  <c r="G337" i="1"/>
  <c r="G336" i="1"/>
  <c r="G335" i="1"/>
  <c r="G333" i="1"/>
  <c r="G329" i="1"/>
  <c r="G327" i="1"/>
  <c r="G324" i="1"/>
  <c r="G322" i="1"/>
  <c r="G318" i="1"/>
  <c r="G317" i="1"/>
  <c r="G316" i="1"/>
  <c r="G315" i="1"/>
  <c r="G314" i="1"/>
  <c r="G281" i="1"/>
  <c r="G280" i="1"/>
  <c r="G279" i="1"/>
  <c r="G278" i="1"/>
  <c r="G277" i="1"/>
  <c r="G272" i="1"/>
  <c r="G271" i="1"/>
  <c r="G268" i="1"/>
  <c r="G265" i="1"/>
  <c r="G264" i="1"/>
  <c r="G261" i="1"/>
  <c r="G258" i="1"/>
  <c r="G257" i="1"/>
  <c r="G254" i="1"/>
  <c r="G251" i="1"/>
  <c r="G250" i="1"/>
  <c r="G247" i="1"/>
  <c r="G244" i="1"/>
  <c r="G243" i="1"/>
  <c r="G240" i="1"/>
  <c r="G237" i="1"/>
  <c r="G236" i="1"/>
  <c r="G233" i="1"/>
  <c r="G229" i="1"/>
  <c r="G228" i="1"/>
  <c r="G225" i="1"/>
  <c r="G222" i="1"/>
  <c r="G221" i="1"/>
  <c r="G218" i="1"/>
  <c r="G215" i="1"/>
  <c r="G214" i="1"/>
  <c r="G211" i="1"/>
  <c r="G208" i="1"/>
  <c r="G207" i="1"/>
  <c r="G204" i="1"/>
  <c r="G201" i="1"/>
  <c r="G200" i="1"/>
  <c r="G197" i="1"/>
  <c r="G194" i="1"/>
  <c r="G193" i="1"/>
  <c r="G190" i="1"/>
  <c r="G185" i="1"/>
  <c r="G184" i="1"/>
  <c r="G159" i="1"/>
  <c r="G130" i="1"/>
  <c r="G116" i="1"/>
  <c r="G126" i="1"/>
  <c r="F362" i="1" l="1"/>
  <c r="F357" i="1"/>
  <c r="F354" i="1"/>
  <c r="F349" i="1"/>
  <c r="F346" i="1"/>
  <c r="F341" i="1"/>
  <c r="F338" i="1"/>
  <c r="F333" i="1"/>
  <c r="F327" i="1"/>
  <c r="F322" i="1"/>
  <c r="F315" i="1"/>
  <c r="F316" i="1"/>
  <c r="F317" i="1"/>
  <c r="F318" i="1"/>
  <c r="F314" i="1"/>
  <c r="F278" i="1"/>
  <c r="F279" i="1"/>
  <c r="F280" i="1"/>
  <c r="F281" i="1"/>
  <c r="F277" i="1"/>
  <c r="F272" i="1"/>
  <c r="F271" i="1"/>
  <c r="F268" i="1"/>
  <c r="F265" i="1"/>
  <c r="F264" i="1"/>
  <c r="F261" i="1"/>
  <c r="F258" i="1"/>
  <c r="F257" i="1"/>
  <c r="F254" i="1"/>
  <c r="F251" i="1"/>
  <c r="F250" i="1"/>
  <c r="F247" i="1"/>
  <c r="F244" i="1"/>
  <c r="F243" i="1"/>
  <c r="F240" i="1"/>
  <c r="F237" i="1"/>
  <c r="F236" i="1"/>
  <c r="F233" i="1"/>
  <c r="F229" i="1"/>
  <c r="F228" i="1"/>
  <c r="F225" i="1"/>
  <c r="F222" i="1"/>
  <c r="F221" i="1"/>
  <c r="F218" i="1"/>
  <c r="F215" i="1"/>
  <c r="F214" i="1"/>
  <c r="F211" i="1"/>
  <c r="F208" i="1"/>
  <c r="F207" i="1"/>
  <c r="F204" i="1"/>
  <c r="F201" i="1"/>
  <c r="F200" i="1"/>
  <c r="F197" i="1"/>
  <c r="F194" i="1"/>
  <c r="F193" i="1"/>
  <c r="F190" i="1"/>
  <c r="E362" i="1"/>
  <c r="E357" i="1"/>
  <c r="E354" i="1"/>
  <c r="E349" i="1"/>
  <c r="E346" i="1"/>
  <c r="E341" i="1"/>
  <c r="E338" i="1"/>
  <c r="E333" i="1"/>
  <c r="E327" i="1"/>
  <c r="E322" i="1"/>
  <c r="E278" i="1"/>
  <c r="E279" i="1"/>
  <c r="E280" i="1"/>
  <c r="E281" i="1"/>
  <c r="E277" i="1"/>
  <c r="E194" i="1"/>
  <c r="E193" i="1"/>
  <c r="E190" i="1"/>
  <c r="E182" i="1"/>
  <c r="E179" i="1"/>
  <c r="E176" i="1"/>
  <c r="E159" i="1"/>
  <c r="D362" i="1"/>
  <c r="D361" i="1"/>
  <c r="D360" i="1"/>
  <c r="D359" i="1"/>
  <c r="D357" i="1"/>
  <c r="I357" i="1"/>
  <c r="D354" i="1"/>
  <c r="D353" i="1"/>
  <c r="D352" i="1"/>
  <c r="D351" i="1"/>
  <c r="D349" i="1"/>
  <c r="D346" i="1"/>
  <c r="D345" i="1"/>
  <c r="D344" i="1"/>
  <c r="D343" i="1"/>
  <c r="D341" i="1"/>
  <c r="D338" i="1"/>
  <c r="D337" i="1"/>
  <c r="D336" i="1"/>
  <c r="D335" i="1"/>
  <c r="D333" i="1"/>
  <c r="D330" i="1"/>
  <c r="D329" i="1"/>
  <c r="D327" i="1"/>
  <c r="D325" i="1"/>
  <c r="D324" i="1"/>
  <c r="D322" i="1"/>
  <c r="D319" i="1"/>
  <c r="D318" i="1"/>
  <c r="D317" i="1"/>
  <c r="D316" i="1"/>
  <c r="D315" i="1"/>
  <c r="D314" i="1"/>
  <c r="D10" i="8"/>
  <c r="D13" i="8"/>
  <c r="D14" i="8"/>
  <c r="D15" i="8"/>
  <c r="D16" i="8"/>
  <c r="D17" i="8"/>
  <c r="D18" i="8"/>
  <c r="D19" i="8"/>
  <c r="D20" i="8"/>
  <c r="D22" i="8"/>
  <c r="D23" i="8"/>
  <c r="D24" i="8"/>
  <c r="D25" i="8"/>
  <c r="D26" i="8"/>
  <c r="D27" i="8"/>
  <c r="D28" i="8"/>
  <c r="D29" i="8"/>
  <c r="D31" i="8"/>
  <c r="D32" i="8"/>
  <c r="D33" i="8"/>
  <c r="D34" i="8"/>
  <c r="D35" i="8"/>
  <c r="D36" i="8"/>
  <c r="D37" i="8"/>
  <c r="D38" i="8"/>
  <c r="D39" i="8"/>
  <c r="D41" i="8"/>
  <c r="D42" i="8"/>
  <c r="D43" i="8"/>
  <c r="D44" i="8"/>
  <c r="D45" i="8"/>
  <c r="D46" i="8"/>
  <c r="D47" i="8"/>
  <c r="D48" i="8"/>
  <c r="D50" i="8"/>
  <c r="D51" i="8"/>
  <c r="D52" i="8"/>
  <c r="D53" i="8"/>
  <c r="D54" i="8"/>
  <c r="D55" i="8"/>
  <c r="D56" i="8"/>
  <c r="D57" i="8"/>
  <c r="D59" i="8"/>
  <c r="D60" i="8"/>
  <c r="D61" i="8"/>
  <c r="D62" i="8"/>
  <c r="D63" i="8"/>
  <c r="D64" i="8"/>
  <c r="D65" i="8"/>
  <c r="D66" i="8"/>
  <c r="D71" i="8"/>
  <c r="D72" i="8"/>
  <c r="D73" i="8"/>
  <c r="D76" i="8"/>
  <c r="D77" i="8"/>
  <c r="D78" i="8"/>
  <c r="D81" i="8"/>
  <c r="D82" i="8"/>
  <c r="D83" i="8"/>
  <c r="D87" i="8"/>
  <c r="D88" i="8"/>
  <c r="D89" i="8"/>
  <c r="D90" i="8"/>
  <c r="D91" i="8"/>
  <c r="D92" i="8"/>
  <c r="D93" i="8"/>
  <c r="D94" i="8"/>
  <c r="D95" i="8"/>
  <c r="D96" i="8"/>
  <c r="D97" i="8"/>
  <c r="D98" i="8"/>
  <c r="D99" i="8"/>
  <c r="D101" i="8"/>
  <c r="D102" i="8"/>
  <c r="D103" i="8"/>
  <c r="D104" i="8"/>
  <c r="D105" i="8"/>
  <c r="D106" i="8"/>
  <c r="D107" i="8"/>
  <c r="D108" i="8"/>
  <c r="D109" i="8"/>
  <c r="D110" i="8"/>
  <c r="D111" i="8"/>
  <c r="D112" i="8"/>
  <c r="D113" i="8"/>
  <c r="D115" i="8"/>
  <c r="D116" i="8"/>
  <c r="D119" i="8"/>
  <c r="D120" i="8"/>
  <c r="D121" i="8"/>
  <c r="D122" i="8"/>
  <c r="D123" i="8"/>
  <c r="D124" i="8"/>
  <c r="D125" i="8"/>
  <c r="D126" i="8"/>
  <c r="D128" i="8"/>
  <c r="D129" i="8"/>
  <c r="D130" i="8"/>
  <c r="D131" i="8"/>
  <c r="D132" i="8"/>
  <c r="D133" i="8"/>
  <c r="D134" i="8"/>
  <c r="D135" i="8"/>
  <c r="D137" i="8"/>
  <c r="D138" i="8"/>
  <c r="D139" i="8"/>
  <c r="D140" i="8"/>
  <c r="D141" i="8"/>
  <c r="D142" i="8"/>
  <c r="D143" i="8"/>
  <c r="D144" i="8"/>
  <c r="D145" i="8"/>
  <c r="D149" i="8"/>
  <c r="D150" i="8"/>
  <c r="D152" i="8"/>
  <c r="D153" i="8"/>
  <c r="D155" i="8"/>
  <c r="D156" i="8"/>
  <c r="D159" i="8"/>
  <c r="D162" i="8"/>
  <c r="D165" i="8"/>
  <c r="D168" i="8"/>
  <c r="D169" i="8"/>
  <c r="D170" i="8"/>
  <c r="D171" i="8"/>
  <c r="D176" i="8"/>
  <c r="D177" i="8"/>
  <c r="D178" i="8"/>
  <c r="D179" i="8"/>
  <c r="D180" i="8"/>
  <c r="D181" i="8"/>
  <c r="D183" i="8"/>
  <c r="D184" i="8"/>
  <c r="D185" i="8"/>
  <c r="D186" i="8"/>
  <c r="D187" i="8"/>
  <c r="D188" i="8"/>
  <c r="D190" i="8"/>
  <c r="D191" i="8"/>
  <c r="D192" i="8"/>
  <c r="D193" i="8"/>
  <c r="D194" i="8"/>
  <c r="D195" i="8"/>
  <c r="D197" i="8"/>
  <c r="D198" i="8"/>
  <c r="D199" i="8"/>
  <c r="D200" i="8"/>
  <c r="D201" i="8"/>
  <c r="D202" i="8"/>
  <c r="D204" i="8"/>
  <c r="D205" i="8"/>
  <c r="D206" i="8"/>
  <c r="D207" i="8"/>
  <c r="D208" i="8"/>
  <c r="D209" i="8"/>
  <c r="D211" i="8"/>
  <c r="D212" i="8"/>
  <c r="D213" i="8"/>
  <c r="D214" i="8"/>
  <c r="D215" i="8"/>
  <c r="D216" i="8"/>
  <c r="D219" i="8"/>
  <c r="D220" i="8"/>
  <c r="D221" i="8"/>
  <c r="D252" i="8" s="1"/>
  <c r="D222" i="8"/>
  <c r="D223" i="8"/>
  <c r="D224" i="8"/>
  <c r="D226" i="8"/>
  <c r="D227" i="8"/>
  <c r="D228" i="8"/>
  <c r="D259" i="8" s="1"/>
  <c r="D229" i="8"/>
  <c r="D230" i="8"/>
  <c r="D231" i="8"/>
  <c r="D233" i="8"/>
  <c r="D234" i="8"/>
  <c r="D235" i="8"/>
  <c r="D236" i="8"/>
  <c r="D237" i="8"/>
  <c r="D238" i="8"/>
  <c r="D240" i="8"/>
  <c r="D241" i="8"/>
  <c r="D242" i="8"/>
  <c r="D243" i="8"/>
  <c r="D244" i="8"/>
  <c r="D245" i="8"/>
  <c r="D247" i="8"/>
  <c r="D248" i="8"/>
  <c r="D249" i="8"/>
  <c r="D250" i="8"/>
  <c r="D251" i="8"/>
  <c r="D254" i="8"/>
  <c r="D255" i="8"/>
  <c r="D256" i="8"/>
  <c r="D257" i="8"/>
  <c r="D258" i="8"/>
  <c r="D261" i="8"/>
  <c r="D263" i="8"/>
  <c r="D264" i="8"/>
  <c r="D265" i="8"/>
  <c r="D266" i="8"/>
  <c r="D267" i="8"/>
  <c r="C270" i="8"/>
  <c r="D270" i="8"/>
  <c r="D273" i="8"/>
  <c r="D274" i="8"/>
  <c r="D275" i="8"/>
  <c r="D276" i="8"/>
  <c r="D277" i="8"/>
  <c r="D278" i="8"/>
  <c r="D279" i="8"/>
  <c r="D280" i="8"/>
  <c r="D282" i="8"/>
  <c r="D283" i="8"/>
  <c r="D284" i="8"/>
  <c r="D285" i="8"/>
  <c r="D286" i="8"/>
  <c r="D287" i="8"/>
  <c r="D288" i="8"/>
  <c r="D289" i="8"/>
  <c r="D291" i="8"/>
  <c r="D292" i="8"/>
  <c r="D293" i="8"/>
  <c r="D294" i="8"/>
  <c r="D295" i="8"/>
  <c r="D296" i="8"/>
  <c r="D297" i="8"/>
  <c r="D298" i="8"/>
  <c r="D300" i="8"/>
  <c r="D301" i="8"/>
  <c r="D302" i="8"/>
  <c r="D303" i="8"/>
  <c r="D304" i="8"/>
  <c r="D305" i="8"/>
  <c r="D308" i="8"/>
  <c r="D310" i="8"/>
  <c r="C311" i="8"/>
  <c r="D311" i="8"/>
  <c r="D313" i="8"/>
  <c r="D315" i="8"/>
  <c r="C316" i="8"/>
  <c r="D316" i="8"/>
  <c r="D319" i="8"/>
  <c r="D321" i="8"/>
  <c r="D322" i="8"/>
  <c r="D323" i="8"/>
  <c r="D324" i="8"/>
  <c r="K357" i="1" l="1"/>
  <c r="J357" i="1"/>
  <c r="I362" i="1"/>
  <c r="M357" i="1"/>
  <c r="L357" i="1"/>
  <c r="K362" i="1" l="1"/>
  <c r="M362" i="1" s="1"/>
  <c r="J362" i="1"/>
  <c r="L362" i="1" s="1"/>
  <c r="E173" i="1" l="1"/>
  <c r="G98" i="1"/>
  <c r="G88" i="1"/>
  <c r="E98" i="1"/>
  <c r="E88" i="1"/>
  <c r="G73" i="1"/>
  <c r="E73" i="1"/>
  <c r="G80" i="8"/>
  <c r="G75" i="8"/>
  <c r="G349" i="8"/>
  <c r="G333" i="8"/>
  <c r="G341" i="8"/>
  <c r="L104" i="10" l="1"/>
  <c r="M104" i="10" s="1"/>
  <c r="L103" i="10"/>
  <c r="M103" i="10" s="1"/>
  <c r="L102" i="10"/>
  <c r="M102" i="10" s="1"/>
  <c r="L101" i="10"/>
  <c r="M101" i="10" s="1"/>
  <c r="L99" i="10"/>
  <c r="M99" i="10" s="1"/>
  <c r="F302" i="5"/>
  <c r="F301" i="5"/>
  <c r="F300" i="5"/>
  <c r="N103" i="10" l="1"/>
  <c r="O103" i="10" s="1"/>
  <c r="N101" i="10"/>
  <c r="O101" i="10" s="1"/>
  <c r="N99" i="10"/>
  <c r="O99" i="10" s="1"/>
  <c r="N102" i="10"/>
  <c r="O102" i="10" s="1"/>
  <c r="N104" i="10"/>
  <c r="O104" i="10" s="1"/>
  <c r="F310" i="2" l="1"/>
  <c r="F309" i="2"/>
  <c r="F306" i="2"/>
  <c r="F303" i="2"/>
  <c r="F302" i="2"/>
  <c r="F299" i="2"/>
  <c r="F296" i="2"/>
  <c r="F295" i="2"/>
  <c r="F292" i="2"/>
  <c r="F289" i="2"/>
  <c r="F288" i="2"/>
  <c r="F285" i="2"/>
  <c r="F282" i="2"/>
  <c r="F281" i="2"/>
  <c r="F278" i="2"/>
  <c r="F275" i="2"/>
  <c r="F274" i="2"/>
  <c r="F271" i="2"/>
  <c r="H407" i="4"/>
  <c r="H406" i="4"/>
  <c r="H363" i="4"/>
  <c r="H362" i="4"/>
  <c r="H359" i="4"/>
  <c r="H356" i="4"/>
  <c r="H355" i="4"/>
  <c r="H352" i="4"/>
  <c r="H349" i="4"/>
  <c r="H348" i="4"/>
  <c r="H345" i="4"/>
  <c r="H342" i="4"/>
  <c r="H341" i="4"/>
  <c r="H338" i="4"/>
  <c r="H335" i="4"/>
  <c r="H334" i="4"/>
  <c r="H331" i="4"/>
  <c r="H328" i="4"/>
  <c r="H327" i="4"/>
  <c r="H324" i="4"/>
  <c r="I207" i="3" l="1"/>
  <c r="I204" i="3"/>
  <c r="I201" i="3"/>
  <c r="I368" i="3"/>
  <c r="I367" i="3"/>
  <c r="I270" i="3" l="1"/>
  <c r="E237" i="1" s="1"/>
  <c r="I269" i="3"/>
  <c r="E236" i="1" s="1"/>
  <c r="I266" i="3"/>
  <c r="E233" i="1" s="1"/>
  <c r="I262" i="3"/>
  <c r="I261" i="3"/>
  <c r="I258" i="3"/>
  <c r="I255" i="3"/>
  <c r="I254" i="3"/>
  <c r="I251" i="3"/>
  <c r="I248" i="3"/>
  <c r="I247" i="3"/>
  <c r="I244" i="3"/>
  <c r="I241" i="3"/>
  <c r="I240" i="3"/>
  <c r="I237" i="3"/>
  <c r="I234" i="3"/>
  <c r="I233" i="3"/>
  <c r="I230" i="3"/>
  <c r="E197" i="1" s="1"/>
  <c r="I277" i="3" l="1"/>
  <c r="E244" i="1" s="1"/>
  <c r="E201" i="1"/>
  <c r="I283" i="3"/>
  <c r="E250" i="1" s="1"/>
  <c r="E207" i="1"/>
  <c r="I287" i="3"/>
  <c r="E254" i="1" s="1"/>
  <c r="E211" i="1"/>
  <c r="I291" i="3"/>
  <c r="E258" i="1" s="1"/>
  <c r="E215" i="1"/>
  <c r="I297" i="3"/>
  <c r="E264" i="1" s="1"/>
  <c r="E221" i="1"/>
  <c r="I301" i="3"/>
  <c r="E268" i="1" s="1"/>
  <c r="E225" i="1"/>
  <c r="I305" i="3"/>
  <c r="E272" i="1" s="1"/>
  <c r="E229" i="1"/>
  <c r="I276" i="3"/>
  <c r="E243" i="1" s="1"/>
  <c r="E200" i="1"/>
  <c r="I280" i="3"/>
  <c r="E247" i="1" s="1"/>
  <c r="E204" i="1"/>
  <c r="I284" i="3"/>
  <c r="E251" i="1" s="1"/>
  <c r="E208" i="1"/>
  <c r="I290" i="3"/>
  <c r="E257" i="1" s="1"/>
  <c r="E214" i="1"/>
  <c r="I294" i="3"/>
  <c r="E261" i="1" s="1"/>
  <c r="E218" i="1"/>
  <c r="I298" i="3"/>
  <c r="E265" i="1" s="1"/>
  <c r="E222" i="1"/>
  <c r="I304" i="3"/>
  <c r="E271" i="1" s="1"/>
  <c r="E228" i="1"/>
  <c r="I273" i="3"/>
  <c r="E240" i="1" s="1"/>
  <c r="D66" i="11" l="1"/>
  <c r="D65" i="11"/>
  <c r="D64" i="11"/>
  <c r="D63" i="11"/>
  <c r="D62" i="11"/>
  <c r="D61" i="11"/>
  <c r="D60" i="11"/>
  <c r="D59" i="11"/>
  <c r="D58" i="11"/>
  <c r="D57" i="11"/>
  <c r="D56" i="11"/>
  <c r="D55" i="11"/>
  <c r="D54" i="11"/>
  <c r="D53" i="11"/>
  <c r="D52" i="11"/>
  <c r="D51" i="11"/>
  <c r="D50" i="11"/>
  <c r="D49" i="11"/>
  <c r="D48" i="11"/>
  <c r="D47" i="11"/>
  <c r="D46" i="11"/>
  <c r="D45" i="11"/>
  <c r="D44" i="11"/>
  <c r="D43" i="11"/>
  <c r="D42" i="11"/>
  <c r="D41" i="11"/>
  <c r="D40" i="11"/>
  <c r="D39" i="11"/>
  <c r="D38" i="11"/>
  <c r="D35" i="11"/>
  <c r="D34" i="11"/>
  <c r="D33" i="11"/>
  <c r="D32" i="11"/>
  <c r="D31" i="11"/>
  <c r="D30" i="11"/>
  <c r="D29" i="11"/>
  <c r="D28" i="11"/>
  <c r="D27" i="11"/>
  <c r="D26" i="11"/>
  <c r="D23" i="11"/>
  <c r="D22" i="11"/>
  <c r="D21" i="11"/>
  <c r="D20" i="11"/>
  <c r="D19" i="11"/>
  <c r="D18" i="11"/>
  <c r="D17" i="11"/>
  <c r="D16" i="11"/>
  <c r="D15" i="11"/>
  <c r="D14" i="11"/>
  <c r="D12" i="11"/>
  <c r="D10" i="11"/>
  <c r="D9" i="11" l="1"/>
  <c r="D11" i="11"/>
  <c r="D8" i="11"/>
  <c r="D9" i="10" l="1"/>
  <c r="H338" i="1" l="1"/>
  <c r="E126" i="1"/>
  <c r="E116" i="1"/>
  <c r="H327" i="1"/>
  <c r="F300" i="8"/>
  <c r="F298" i="8"/>
  <c r="F297" i="8"/>
  <c r="F296" i="8"/>
  <c r="F295" i="8"/>
  <c r="F294" i="8"/>
  <c r="F293" i="8"/>
  <c r="F292" i="8"/>
  <c r="F291" i="8"/>
  <c r="F289" i="8"/>
  <c r="F288" i="8"/>
  <c r="F287" i="8"/>
  <c r="F286" i="8"/>
  <c r="F285" i="8"/>
  <c r="F284" i="8"/>
  <c r="F283" i="8"/>
  <c r="F282" i="8"/>
  <c r="F274" i="8"/>
  <c r="F275" i="8"/>
  <c r="F276" i="8"/>
  <c r="F277" i="8"/>
  <c r="F278" i="8"/>
  <c r="F279" i="8"/>
  <c r="F280" i="8"/>
  <c r="F273" i="8"/>
  <c r="F270" i="8"/>
  <c r="F171" i="8"/>
  <c r="F170" i="8"/>
  <c r="F144" i="8"/>
  <c r="F143" i="8"/>
  <c r="F142" i="8"/>
  <c r="F141" i="8"/>
  <c r="F140" i="8"/>
  <c r="F139" i="8"/>
  <c r="F138" i="8"/>
  <c r="F137" i="8"/>
  <c r="F135" i="8"/>
  <c r="F134" i="8"/>
  <c r="F133" i="8"/>
  <c r="F132" i="8"/>
  <c r="F131" i="8"/>
  <c r="F130" i="8"/>
  <c r="F129" i="8"/>
  <c r="F128" i="8"/>
  <c r="F120" i="8"/>
  <c r="F121" i="8"/>
  <c r="F122" i="8"/>
  <c r="F123" i="8"/>
  <c r="F124" i="8"/>
  <c r="F125" i="8"/>
  <c r="F126" i="8"/>
  <c r="F119" i="8"/>
  <c r="F263" i="8"/>
  <c r="E165" i="2" l="1"/>
  <c r="F165" i="2" s="1"/>
  <c r="E164" i="2"/>
  <c r="F164" i="2" s="1"/>
  <c r="E163" i="2"/>
  <c r="F163" i="2" s="1"/>
  <c r="E160" i="2"/>
  <c r="F160" i="2" s="1"/>
  <c r="E159" i="2"/>
  <c r="F159" i="2" s="1"/>
  <c r="E158" i="2"/>
  <c r="F158" i="2" s="1"/>
  <c r="E156" i="2"/>
  <c r="F156" i="2" s="1"/>
  <c r="E155" i="2"/>
  <c r="F155" i="2" s="1"/>
  <c r="E154" i="2"/>
  <c r="F154" i="2" s="1"/>
  <c r="E153" i="2"/>
  <c r="F153" i="2" s="1"/>
  <c r="E152" i="2"/>
  <c r="F152" i="2" s="1"/>
  <c r="E151" i="2"/>
  <c r="F151" i="2" s="1"/>
  <c r="E149" i="2"/>
  <c r="F149" i="2" s="1"/>
  <c r="E148" i="2"/>
  <c r="F148" i="2" s="1"/>
  <c r="E146" i="2"/>
  <c r="F146" i="2" s="1"/>
  <c r="E145" i="2"/>
  <c r="F145" i="2" s="1"/>
  <c r="E144" i="2"/>
  <c r="F144" i="2" s="1"/>
  <c r="E143" i="2"/>
  <c r="F143" i="2" s="1"/>
  <c r="E141" i="2"/>
  <c r="F141" i="2" s="1"/>
  <c r="E140" i="2"/>
  <c r="F140" i="2" s="1"/>
  <c r="E139" i="2"/>
  <c r="F139" i="2" s="1"/>
  <c r="E137" i="2"/>
  <c r="F137" i="2" s="1"/>
  <c r="E136" i="2"/>
  <c r="F136" i="2" s="1"/>
  <c r="E135" i="2"/>
  <c r="F135" i="2" s="1"/>
  <c r="E134" i="2"/>
  <c r="F134" i="2" s="1"/>
  <c r="E132" i="2"/>
  <c r="F132" i="2" s="1"/>
  <c r="E131" i="2"/>
  <c r="F131" i="2" s="1"/>
  <c r="E130" i="2"/>
  <c r="F130" i="2" s="1"/>
  <c r="E129" i="2"/>
  <c r="F129" i="2" s="1"/>
  <c r="E127" i="2"/>
  <c r="F127" i="2" s="1"/>
  <c r="E126" i="2"/>
  <c r="F126" i="2" s="1"/>
  <c r="E125" i="2"/>
  <c r="F125" i="2" s="1"/>
  <c r="E124" i="2"/>
  <c r="F124" i="2" s="1"/>
  <c r="E123" i="2"/>
  <c r="F123" i="2" s="1"/>
  <c r="E121" i="2"/>
  <c r="F121" i="2" s="1"/>
  <c r="E120" i="2"/>
  <c r="F120" i="2" s="1"/>
  <c r="E119" i="2"/>
  <c r="F119" i="2" s="1"/>
  <c r="E116" i="2"/>
  <c r="F116" i="2" s="1"/>
  <c r="E115" i="2"/>
  <c r="F115" i="2" s="1"/>
  <c r="F66" i="8"/>
  <c r="F65" i="8"/>
  <c r="F64" i="8"/>
  <c r="F63" i="8"/>
  <c r="F62" i="8"/>
  <c r="F61" i="8"/>
  <c r="F60" i="8"/>
  <c r="F59" i="8"/>
  <c r="F57" i="8"/>
  <c r="F56" i="8"/>
  <c r="F55" i="8"/>
  <c r="F54" i="8"/>
  <c r="F53" i="8"/>
  <c r="F52" i="8"/>
  <c r="F51" i="8"/>
  <c r="F50" i="8"/>
  <c r="F42" i="8"/>
  <c r="F43" i="8"/>
  <c r="F44" i="8"/>
  <c r="F45" i="8"/>
  <c r="F46" i="8"/>
  <c r="F47" i="8"/>
  <c r="F48" i="8"/>
  <c r="F41" i="8"/>
  <c r="F38" i="8"/>
  <c r="F37" i="8"/>
  <c r="F36" i="8"/>
  <c r="F35" i="8"/>
  <c r="F34" i="8"/>
  <c r="F33" i="8"/>
  <c r="F32" i="8"/>
  <c r="F31" i="8"/>
  <c r="F29" i="8"/>
  <c r="F28" i="8"/>
  <c r="F27" i="8"/>
  <c r="F26" i="8"/>
  <c r="F25" i="8"/>
  <c r="F24" i="8"/>
  <c r="F23" i="8"/>
  <c r="F22" i="8"/>
  <c r="F14" i="8"/>
  <c r="F15" i="8"/>
  <c r="F16" i="8"/>
  <c r="F17" i="8"/>
  <c r="F18" i="8"/>
  <c r="F19" i="8"/>
  <c r="F20" i="8"/>
  <c r="F13" i="8"/>
  <c r="F147" i="2" l="1"/>
  <c r="G123" i="1" s="1"/>
  <c r="F118" i="2"/>
  <c r="G117" i="1" s="1"/>
  <c r="F138" i="2"/>
  <c r="G121" i="1" s="1"/>
  <c r="F162" i="2"/>
  <c r="G127" i="1" s="1"/>
  <c r="F128" i="2"/>
  <c r="G119" i="1" s="1"/>
  <c r="F122" i="2"/>
  <c r="G118" i="1" s="1"/>
  <c r="F142" i="2"/>
  <c r="G122" i="1" s="1"/>
  <c r="F157" i="2"/>
  <c r="G125" i="1" s="1"/>
  <c r="F114" i="2"/>
  <c r="G115" i="1" s="1"/>
  <c r="F133" i="2"/>
  <c r="G120" i="1" s="1"/>
  <c r="F150" i="2"/>
  <c r="G124" i="1" s="1"/>
  <c r="F113" i="2" l="1"/>
  <c r="F237" i="5"/>
  <c r="F251" i="5"/>
  <c r="F278" i="5"/>
  <c r="F277" i="5"/>
  <c r="F276" i="5"/>
  <c r="F275" i="5"/>
  <c r="F274" i="5"/>
  <c r="F273" i="5"/>
  <c r="F271" i="5"/>
  <c r="F270" i="5"/>
  <c r="F269" i="5"/>
  <c r="F268" i="5"/>
  <c r="F267" i="5"/>
  <c r="F266" i="5"/>
  <c r="F264" i="5"/>
  <c r="F263" i="5"/>
  <c r="F262" i="5"/>
  <c r="F261" i="5"/>
  <c r="F260" i="5"/>
  <c r="F259" i="5"/>
  <c r="F252" i="5"/>
  <c r="F250" i="5"/>
  <c r="F249" i="5"/>
  <c r="F244" i="5"/>
  <c r="F243" i="5"/>
  <c r="F242" i="5"/>
  <c r="F241" i="5"/>
  <c r="F240" i="5"/>
  <c r="F232" i="5"/>
  <c r="F231" i="5"/>
  <c r="F230" i="5"/>
  <c r="F229" i="5"/>
  <c r="F228" i="5"/>
  <c r="F227" i="5"/>
  <c r="F226" i="5"/>
  <c r="F220" i="5"/>
  <c r="F219" i="5"/>
  <c r="F218" i="5"/>
  <c r="F217" i="5"/>
  <c r="F216" i="5"/>
  <c r="F215" i="5"/>
  <c r="F213" i="5"/>
  <c r="F212" i="5"/>
  <c r="F211" i="5"/>
  <c r="F210" i="5"/>
  <c r="F209" i="5"/>
  <c r="F208" i="5"/>
  <c r="F321" i="2"/>
  <c r="E327" i="2"/>
  <c r="F327" i="2" s="1"/>
  <c r="E326" i="2"/>
  <c r="F326" i="2" s="1"/>
  <c r="E325" i="2"/>
  <c r="F325" i="2" s="1"/>
  <c r="E324" i="2"/>
  <c r="F324" i="2" s="1"/>
  <c r="E316" i="2"/>
  <c r="F316" i="2" s="1"/>
  <c r="E315" i="2"/>
  <c r="F315" i="2" s="1"/>
  <c r="E314" i="2"/>
  <c r="F314" i="2" s="1"/>
  <c r="F203" i="2"/>
  <c r="F200" i="2"/>
  <c r="F43" i="2"/>
  <c r="G83" i="1" s="1"/>
  <c r="F40" i="2"/>
  <c r="F38" i="2"/>
  <c r="G78" i="1" s="1"/>
  <c r="F35" i="2"/>
  <c r="F111" i="2"/>
  <c r="G112" i="1" s="1"/>
  <c r="F101" i="2"/>
  <c r="G102" i="1" s="1"/>
  <c r="F239" i="5" l="1"/>
  <c r="F258" i="5"/>
  <c r="F265" i="5"/>
  <c r="F272" i="5"/>
  <c r="F248" i="5"/>
  <c r="H329" i="1" s="1"/>
  <c r="F207" i="5"/>
  <c r="F225" i="5"/>
  <c r="F214" i="5"/>
  <c r="F323" i="2"/>
  <c r="G319" i="1" s="1"/>
  <c r="F313" i="2"/>
  <c r="G275" i="1" s="1"/>
  <c r="E230" i="2"/>
  <c r="F230" i="2" s="1"/>
  <c r="E229" i="2"/>
  <c r="F229" i="2" s="1"/>
  <c r="E228" i="2"/>
  <c r="F228" i="2" s="1"/>
  <c r="E227" i="2"/>
  <c r="F227" i="2" s="1"/>
  <c r="E226" i="2"/>
  <c r="F226" i="2" s="1"/>
  <c r="E225" i="2"/>
  <c r="F225" i="2" s="1"/>
  <c r="E223" i="2"/>
  <c r="F223" i="2" s="1"/>
  <c r="E222" i="2"/>
  <c r="F222" i="2" s="1"/>
  <c r="E221" i="2"/>
  <c r="F221" i="2" s="1"/>
  <c r="E220" i="2"/>
  <c r="F220" i="2" s="1"/>
  <c r="E219" i="2"/>
  <c r="F219" i="2" s="1"/>
  <c r="E218" i="2"/>
  <c r="F218" i="2" s="1"/>
  <c r="E209" i="2"/>
  <c r="F209" i="2" s="1"/>
  <c r="E208" i="2"/>
  <c r="F208" i="2" s="1"/>
  <c r="E206" i="2"/>
  <c r="F206" i="2" s="1"/>
  <c r="F205" i="2" s="1"/>
  <c r="G182" i="1" s="1"/>
  <c r="E196" i="2"/>
  <c r="F196" i="2" s="1"/>
  <c r="E195" i="2"/>
  <c r="F195" i="2" s="1"/>
  <c r="E185" i="2"/>
  <c r="F185" i="2" s="1"/>
  <c r="E184" i="2"/>
  <c r="F184" i="2" s="1"/>
  <c r="E182" i="2"/>
  <c r="F182" i="2" s="1"/>
  <c r="E181" i="2"/>
  <c r="F181" i="2" s="1"/>
  <c r="E180" i="2"/>
  <c r="F180" i="2" s="1"/>
  <c r="E179" i="2"/>
  <c r="F179" i="2" s="1"/>
  <c r="E178" i="2"/>
  <c r="F178" i="2" s="1"/>
  <c r="E170" i="2"/>
  <c r="F170" i="2" s="1"/>
  <c r="E169" i="2"/>
  <c r="F169" i="2" s="1"/>
  <c r="E168" i="2"/>
  <c r="F168" i="2" s="1"/>
  <c r="E98" i="2"/>
  <c r="F98" i="2" s="1"/>
  <c r="E97" i="2"/>
  <c r="F97" i="2" s="1"/>
  <c r="E96" i="2"/>
  <c r="F96" i="2" s="1"/>
  <c r="E93" i="2"/>
  <c r="F93" i="2" s="1"/>
  <c r="E92" i="2"/>
  <c r="F92" i="2" s="1"/>
  <c r="E91" i="2"/>
  <c r="F91" i="2" s="1"/>
  <c r="E89" i="2"/>
  <c r="F89" i="2" s="1"/>
  <c r="E88" i="2"/>
  <c r="F88" i="2" s="1"/>
  <c r="E87" i="2"/>
  <c r="F87" i="2" s="1"/>
  <c r="E86" i="2"/>
  <c r="F86" i="2" s="1"/>
  <c r="E85" i="2"/>
  <c r="F85" i="2" s="1"/>
  <c r="E84" i="2"/>
  <c r="F84" i="2" s="1"/>
  <c r="E82" i="2"/>
  <c r="F82" i="2" s="1"/>
  <c r="E81" i="2"/>
  <c r="F81" i="2" s="1"/>
  <c r="E79" i="2"/>
  <c r="F79" i="2" s="1"/>
  <c r="E78" i="2"/>
  <c r="F78" i="2" s="1"/>
  <c r="E77" i="2"/>
  <c r="F77" i="2" s="1"/>
  <c r="E76" i="2"/>
  <c r="F76" i="2" s="1"/>
  <c r="E74" i="2"/>
  <c r="F74" i="2" s="1"/>
  <c r="E73" i="2"/>
  <c r="F73" i="2" s="1"/>
  <c r="E72" i="2"/>
  <c r="F72" i="2" s="1"/>
  <c r="E70" i="2"/>
  <c r="F70" i="2" s="1"/>
  <c r="E69" i="2"/>
  <c r="F69" i="2" s="1"/>
  <c r="E68" i="2"/>
  <c r="F68" i="2" s="1"/>
  <c r="E67" i="2"/>
  <c r="F67" i="2" s="1"/>
  <c r="E65" i="2"/>
  <c r="F65" i="2" s="1"/>
  <c r="E64" i="2"/>
  <c r="F64" i="2" s="1"/>
  <c r="E63" i="2"/>
  <c r="F63" i="2" s="1"/>
  <c r="E62" i="2"/>
  <c r="F62" i="2" s="1"/>
  <c r="E60" i="2"/>
  <c r="F60" i="2" s="1"/>
  <c r="E59" i="2"/>
  <c r="F59" i="2" s="1"/>
  <c r="E58" i="2"/>
  <c r="F58" i="2" s="1"/>
  <c r="E57" i="2"/>
  <c r="F57" i="2" s="1"/>
  <c r="E56" i="2"/>
  <c r="F56" i="2" s="1"/>
  <c r="E54" i="2"/>
  <c r="F54" i="2" s="1"/>
  <c r="E53" i="2"/>
  <c r="F53" i="2" s="1"/>
  <c r="E52" i="2"/>
  <c r="F52" i="2" s="1"/>
  <c r="E49" i="2"/>
  <c r="F49" i="2" s="1"/>
  <c r="E48" i="2"/>
  <c r="F48" i="2" s="1"/>
  <c r="E32" i="2"/>
  <c r="F32" i="2" s="1"/>
  <c r="E31" i="2"/>
  <c r="F31" i="2" s="1"/>
  <c r="E30" i="2"/>
  <c r="F30" i="2" s="1"/>
  <c r="E28" i="2"/>
  <c r="F28" i="2" s="1"/>
  <c r="E27" i="2"/>
  <c r="F27" i="2" s="1"/>
  <c r="E26" i="2"/>
  <c r="F26" i="2" s="1"/>
  <c r="E25" i="2"/>
  <c r="F25" i="2" s="1"/>
  <c r="E17" i="2"/>
  <c r="F17" i="2" s="1"/>
  <c r="E16" i="2"/>
  <c r="F16" i="2" s="1"/>
  <c r="E15" i="2"/>
  <c r="F15" i="2" s="1"/>
  <c r="E14" i="2"/>
  <c r="F14" i="2" s="1"/>
  <c r="E13" i="2"/>
  <c r="F13" i="2" s="1"/>
  <c r="E12" i="2"/>
  <c r="F12" i="2" s="1"/>
  <c r="E11" i="2"/>
  <c r="F294" i="5" l="1"/>
  <c r="F292" i="5"/>
  <c r="F285" i="5"/>
  <c r="F286" i="5"/>
  <c r="F293" i="5"/>
  <c r="F284" i="5"/>
  <c r="F55" i="2"/>
  <c r="F75" i="2"/>
  <c r="F80" i="2"/>
  <c r="F83" i="2"/>
  <c r="F90" i="2"/>
  <c r="F167" i="2"/>
  <c r="G129" i="1" s="1"/>
  <c r="F183" i="2"/>
  <c r="F194" i="2"/>
  <c r="G173" i="1" s="1"/>
  <c r="F95" i="2"/>
  <c r="F177" i="2"/>
  <c r="G163" i="1" s="1"/>
  <c r="F207" i="2"/>
  <c r="G183" i="1" s="1"/>
  <c r="F217" i="2"/>
  <c r="G191" i="1" s="1"/>
  <c r="F224" i="2"/>
  <c r="G192" i="1" s="1"/>
  <c r="F47" i="2"/>
  <c r="F51" i="2"/>
  <c r="F61" i="2"/>
  <c r="F66" i="2"/>
  <c r="F71" i="2"/>
  <c r="F24" i="2"/>
  <c r="G71" i="1" s="1"/>
  <c r="F29" i="2"/>
  <c r="G72" i="1" s="1"/>
  <c r="H236" i="4"/>
  <c r="H233" i="4"/>
  <c r="H51" i="4"/>
  <c r="H46" i="4"/>
  <c r="F433" i="4"/>
  <c r="F432" i="4"/>
  <c r="F431" i="4"/>
  <c r="F430" i="4"/>
  <c r="F429" i="4"/>
  <c r="F427" i="4"/>
  <c r="F426" i="4"/>
  <c r="F425" i="4"/>
  <c r="F424" i="4"/>
  <c r="F423" i="4"/>
  <c r="F422" i="4"/>
  <c r="F420" i="4"/>
  <c r="F419" i="4"/>
  <c r="F418" i="4"/>
  <c r="F417" i="4"/>
  <c r="F416" i="4"/>
  <c r="F415" i="4"/>
  <c r="F403" i="4"/>
  <c r="F402" i="4"/>
  <c r="F401" i="4"/>
  <c r="F400" i="4"/>
  <c r="F399" i="4"/>
  <c r="F398" i="4"/>
  <c r="F397" i="4"/>
  <c r="F391" i="4"/>
  <c r="F390" i="4"/>
  <c r="F389" i="4"/>
  <c r="F388" i="4"/>
  <c r="F387" i="4"/>
  <c r="F386" i="4"/>
  <c r="F385" i="4"/>
  <c r="F384" i="4"/>
  <c r="F383" i="4"/>
  <c r="F375" i="4"/>
  <c r="F374" i="4"/>
  <c r="F373" i="4"/>
  <c r="F372" i="4"/>
  <c r="F371" i="4"/>
  <c r="F370" i="4"/>
  <c r="F369" i="4"/>
  <c r="F368" i="4"/>
  <c r="F367" i="4"/>
  <c r="F283" i="4"/>
  <c r="F282" i="4"/>
  <c r="F281" i="4"/>
  <c r="F280" i="4"/>
  <c r="F279" i="4"/>
  <c r="F278" i="4"/>
  <c r="F277" i="4"/>
  <c r="F276" i="4"/>
  <c r="F275" i="4"/>
  <c r="F274" i="4"/>
  <c r="F273" i="4"/>
  <c r="F271" i="4"/>
  <c r="F270" i="4"/>
  <c r="F269" i="4"/>
  <c r="F268" i="4"/>
  <c r="F267" i="4"/>
  <c r="F266" i="4"/>
  <c r="F265" i="4"/>
  <c r="F264" i="4"/>
  <c r="F263" i="4"/>
  <c r="F262" i="4"/>
  <c r="F261" i="4"/>
  <c r="F260" i="4"/>
  <c r="F251" i="4"/>
  <c r="F250" i="4"/>
  <c r="F249" i="4"/>
  <c r="F248" i="4"/>
  <c r="F247" i="4"/>
  <c r="F246" i="4"/>
  <c r="F244" i="4"/>
  <c r="F243" i="4"/>
  <c r="F242" i="4"/>
  <c r="F241" i="4"/>
  <c r="F240" i="4"/>
  <c r="F239" i="4"/>
  <c r="F229" i="4"/>
  <c r="F228" i="4"/>
  <c r="F227" i="4"/>
  <c r="F226" i="4"/>
  <c r="F225" i="4"/>
  <c r="F224" i="4"/>
  <c r="F223" i="4"/>
  <c r="F222" i="4"/>
  <c r="F221" i="4"/>
  <c r="F220" i="4"/>
  <c r="F210" i="4"/>
  <c r="F209" i="4"/>
  <c r="F208" i="4"/>
  <c r="F207" i="4"/>
  <c r="F206" i="4"/>
  <c r="F204" i="4"/>
  <c r="F203" i="4"/>
  <c r="F202" i="4"/>
  <c r="F201" i="4"/>
  <c r="F200" i="4"/>
  <c r="F199" i="4"/>
  <c r="F198" i="4"/>
  <c r="F197" i="4"/>
  <c r="F196" i="4"/>
  <c r="F195" i="4"/>
  <c r="F194" i="4"/>
  <c r="F193" i="4"/>
  <c r="F188" i="4"/>
  <c r="F187" i="4"/>
  <c r="F186" i="4"/>
  <c r="F185" i="4"/>
  <c r="F184" i="4"/>
  <c r="F183" i="4"/>
  <c r="F182" i="4"/>
  <c r="F179" i="4"/>
  <c r="F178" i="4"/>
  <c r="F177" i="4"/>
  <c r="F176" i="4"/>
  <c r="F175" i="4"/>
  <c r="F173" i="4"/>
  <c r="F172" i="4"/>
  <c r="F171" i="4"/>
  <c r="F170" i="4"/>
  <c r="F169" i="4"/>
  <c r="F168" i="4"/>
  <c r="F151" i="4"/>
  <c r="F150" i="4"/>
  <c r="F149" i="4"/>
  <c r="F148" i="4"/>
  <c r="F147" i="4"/>
  <c r="F145" i="4"/>
  <c r="F144" i="4"/>
  <c r="F143" i="4"/>
  <c r="F142" i="4"/>
  <c r="F141" i="4"/>
  <c r="F140" i="4"/>
  <c r="F139" i="4"/>
  <c r="F137" i="4"/>
  <c r="F136" i="4"/>
  <c r="F135" i="4"/>
  <c r="F134" i="4"/>
  <c r="F133" i="4"/>
  <c r="F132" i="4"/>
  <c r="F130" i="4"/>
  <c r="F129" i="4"/>
  <c r="F128" i="4"/>
  <c r="F127" i="4"/>
  <c r="F126" i="4"/>
  <c r="F125" i="4"/>
  <c r="F124" i="4"/>
  <c r="F123" i="4"/>
  <c r="F121" i="4"/>
  <c r="F120" i="4"/>
  <c r="F119" i="4"/>
  <c r="F118" i="4"/>
  <c r="F117" i="4"/>
  <c r="F116" i="4"/>
  <c r="F114" i="4"/>
  <c r="F113" i="4"/>
  <c r="F112" i="4"/>
  <c r="F111" i="4"/>
  <c r="F110" i="4"/>
  <c r="F109" i="4"/>
  <c r="F107" i="4"/>
  <c r="F106" i="4"/>
  <c r="F105" i="4"/>
  <c r="F104" i="4"/>
  <c r="F103" i="4"/>
  <c r="F102" i="4"/>
  <c r="F100" i="4"/>
  <c r="F99" i="4"/>
  <c r="F98" i="4"/>
  <c r="F97" i="4"/>
  <c r="F96" i="4"/>
  <c r="F95" i="4"/>
  <c r="F93" i="4"/>
  <c r="F92" i="4"/>
  <c r="F91" i="4"/>
  <c r="F90" i="4"/>
  <c r="F89" i="4"/>
  <c r="F88" i="4"/>
  <c r="F86" i="4"/>
  <c r="F85" i="4"/>
  <c r="F84" i="4"/>
  <c r="F83" i="4"/>
  <c r="F82" i="4"/>
  <c r="F81" i="4"/>
  <c r="F79" i="4"/>
  <c r="F78" i="4"/>
  <c r="F77" i="4"/>
  <c r="F76" i="4"/>
  <c r="F75" i="4"/>
  <c r="F74" i="4"/>
  <c r="F72" i="4"/>
  <c r="F71" i="4"/>
  <c r="F70" i="4"/>
  <c r="F69" i="4"/>
  <c r="F68" i="4"/>
  <c r="F67" i="4"/>
  <c r="F66" i="4"/>
  <c r="F64" i="4"/>
  <c r="F63" i="4"/>
  <c r="F62" i="4"/>
  <c r="F61" i="4"/>
  <c r="F60" i="4"/>
  <c r="F59" i="4"/>
  <c r="F44" i="4"/>
  <c r="F43" i="4"/>
  <c r="F42" i="4"/>
  <c r="F41" i="4"/>
  <c r="F40" i="4"/>
  <c r="F39" i="4"/>
  <c r="F37" i="4"/>
  <c r="F36" i="4"/>
  <c r="F35" i="4"/>
  <c r="F34" i="4"/>
  <c r="F33" i="4"/>
  <c r="F32" i="4"/>
  <c r="F30" i="4"/>
  <c r="F29" i="4"/>
  <c r="F28" i="4"/>
  <c r="F27" i="4"/>
  <c r="F26" i="4"/>
  <c r="F25" i="4"/>
  <c r="F24" i="4"/>
  <c r="F16" i="4"/>
  <c r="F15" i="4"/>
  <c r="F14" i="4"/>
  <c r="F13" i="4"/>
  <c r="F12" i="4"/>
  <c r="F11" i="4"/>
  <c r="I146" i="3"/>
  <c r="E112" i="1" s="1"/>
  <c r="I136" i="3"/>
  <c r="E102" i="1" s="1"/>
  <c r="H320" i="3"/>
  <c r="G92" i="1" l="1"/>
  <c r="G89" i="1"/>
  <c r="F273" i="2"/>
  <c r="G235" i="1" s="1"/>
  <c r="G99" i="1"/>
  <c r="F276" i="2"/>
  <c r="G238" i="1" s="1"/>
  <c r="G164" i="1"/>
  <c r="G97" i="1"/>
  <c r="G95" i="1"/>
  <c r="G90" i="1"/>
  <c r="G93" i="1"/>
  <c r="G91" i="1"/>
  <c r="G87" i="1"/>
  <c r="F272" i="2"/>
  <c r="G234" i="1" s="1"/>
  <c r="G96" i="1"/>
  <c r="G94" i="1"/>
  <c r="F311" i="2"/>
  <c r="G273" i="1" s="1"/>
  <c r="F304" i="2"/>
  <c r="G266" i="1" s="1"/>
  <c r="F297" i="2"/>
  <c r="G259" i="1" s="1"/>
  <c r="F290" i="2"/>
  <c r="G252" i="1" s="1"/>
  <c r="F283" i="2"/>
  <c r="G245" i="1" s="1"/>
  <c r="F270" i="2"/>
  <c r="F268" i="2"/>
  <c r="G230" i="1" s="1"/>
  <c r="F254" i="2"/>
  <c r="G216" i="1" s="1"/>
  <c r="F261" i="2"/>
  <c r="G223" i="1" s="1"/>
  <c r="F247" i="2"/>
  <c r="G209" i="1" s="1"/>
  <c r="F204" i="2"/>
  <c r="F176" i="2"/>
  <c r="F166" i="2"/>
  <c r="F333" i="2"/>
  <c r="F338" i="2"/>
  <c r="F240" i="2"/>
  <c r="G202" i="1" s="1"/>
  <c r="F233" i="2"/>
  <c r="G195" i="1" s="1"/>
  <c r="F105" i="2"/>
  <c r="G106" i="1" s="1"/>
  <c r="F102" i="2"/>
  <c r="G103" i="1" s="1"/>
  <c r="F112" i="2"/>
  <c r="G113" i="1" s="1"/>
  <c r="F110" i="2"/>
  <c r="G111" i="1" s="1"/>
  <c r="F108" i="2"/>
  <c r="G109" i="1" s="1"/>
  <c r="F103" i="2"/>
  <c r="G104" i="1" s="1"/>
  <c r="F106" i="2"/>
  <c r="G107" i="1" s="1"/>
  <c r="F104" i="2"/>
  <c r="G105" i="1" s="1"/>
  <c r="F109" i="2"/>
  <c r="G110" i="1" s="1"/>
  <c r="F107" i="2"/>
  <c r="G108" i="1" s="1"/>
  <c r="F264" i="2"/>
  <c r="G226" i="1" s="1"/>
  <c r="F257" i="2"/>
  <c r="F250" i="2"/>
  <c r="G212" i="1" s="1"/>
  <c r="F243" i="2"/>
  <c r="F236" i="2"/>
  <c r="G198" i="1" s="1"/>
  <c r="F265" i="2"/>
  <c r="F258" i="2"/>
  <c r="F251" i="2"/>
  <c r="F244" i="2"/>
  <c r="F237" i="2"/>
  <c r="F199" i="2"/>
  <c r="F202" i="2"/>
  <c r="F193" i="2"/>
  <c r="F191" i="2"/>
  <c r="G170" i="1" s="1"/>
  <c r="F188" i="2"/>
  <c r="G167" i="1" s="1"/>
  <c r="F187" i="2"/>
  <c r="G166" i="1" s="1"/>
  <c r="F190" i="2"/>
  <c r="G169" i="1" s="1"/>
  <c r="F22" i="2"/>
  <c r="F41" i="2"/>
  <c r="G81" i="1" s="1"/>
  <c r="F36" i="2"/>
  <c r="G76" i="1" s="1"/>
  <c r="F42" i="2"/>
  <c r="G82" i="1" s="1"/>
  <c r="F37" i="2"/>
  <c r="G77" i="1" s="1"/>
  <c r="F100" i="2"/>
  <c r="G101" i="1" s="1"/>
  <c r="F46" i="2"/>
  <c r="G148" i="4"/>
  <c r="H148" i="4" s="1"/>
  <c r="G150" i="4"/>
  <c r="H150" i="4" s="1"/>
  <c r="G168" i="4"/>
  <c r="H168" i="4" s="1"/>
  <c r="G170" i="4"/>
  <c r="H170" i="4" s="1"/>
  <c r="G175" i="4"/>
  <c r="H175" i="4" s="1"/>
  <c r="G193" i="4"/>
  <c r="H193" i="4" s="1"/>
  <c r="G195" i="4"/>
  <c r="H195" i="4" s="1"/>
  <c r="G201" i="4"/>
  <c r="H201" i="4" s="1"/>
  <c r="G221" i="4"/>
  <c r="H221" i="4" s="1"/>
  <c r="G223" i="4"/>
  <c r="H223" i="4" s="1"/>
  <c r="G225" i="4"/>
  <c r="H225" i="4" s="1"/>
  <c r="G227" i="4"/>
  <c r="H227" i="4" s="1"/>
  <c r="G25" i="4"/>
  <c r="H25" i="4" s="1"/>
  <c r="G27" i="4"/>
  <c r="H27" i="4" s="1"/>
  <c r="G29" i="4"/>
  <c r="H29" i="4" s="1"/>
  <c r="G32" i="4"/>
  <c r="H32" i="4" s="1"/>
  <c r="G34" i="4"/>
  <c r="H34" i="4" s="1"/>
  <c r="G36" i="4"/>
  <c r="H36" i="4" s="1"/>
  <c r="G39" i="4"/>
  <c r="H39" i="4" s="1"/>
  <c r="G41" i="4"/>
  <c r="H41" i="4" s="1"/>
  <c r="G43" i="4"/>
  <c r="H43" i="4" s="1"/>
  <c r="G59" i="4"/>
  <c r="H59" i="4" s="1"/>
  <c r="G61" i="4"/>
  <c r="H61" i="4" s="1"/>
  <c r="G63" i="4"/>
  <c r="H63" i="4" s="1"/>
  <c r="G66" i="4"/>
  <c r="H66" i="4" s="1"/>
  <c r="G68" i="4"/>
  <c r="H68" i="4" s="1"/>
  <c r="G70" i="4"/>
  <c r="H70" i="4" s="1"/>
  <c r="G72" i="4"/>
  <c r="H72" i="4" s="1"/>
  <c r="G75" i="4"/>
  <c r="H75" i="4" s="1"/>
  <c r="G77" i="4"/>
  <c r="H77" i="4" s="1"/>
  <c r="G79" i="4"/>
  <c r="H79" i="4" s="1"/>
  <c r="G149" i="4"/>
  <c r="H149" i="4" s="1"/>
  <c r="G151" i="4"/>
  <c r="H151" i="4" s="1"/>
  <c r="G169" i="4"/>
  <c r="H169" i="4" s="1"/>
  <c r="G171" i="4"/>
  <c r="H171" i="4" s="1"/>
  <c r="G173" i="4"/>
  <c r="H173" i="4" s="1"/>
  <c r="G176" i="4"/>
  <c r="H176" i="4" s="1"/>
  <c r="G194" i="4"/>
  <c r="H194" i="4" s="1"/>
  <c r="G196" i="4"/>
  <c r="H196" i="4" s="1"/>
  <c r="G198" i="4"/>
  <c r="H198" i="4" s="1"/>
  <c r="G200" i="4"/>
  <c r="H200" i="4" s="1"/>
  <c r="G202" i="4"/>
  <c r="H202" i="4" s="1"/>
  <c r="G204" i="4"/>
  <c r="H204" i="4" s="1"/>
  <c r="G220" i="4"/>
  <c r="H220" i="4" s="1"/>
  <c r="G222" i="4"/>
  <c r="H222" i="4" s="1"/>
  <c r="G228" i="4"/>
  <c r="H228" i="4" s="1"/>
  <c r="G82" i="4"/>
  <c r="H82" i="4" s="1"/>
  <c r="G84" i="4"/>
  <c r="H84" i="4" s="1"/>
  <c r="G86" i="4"/>
  <c r="H86" i="4" s="1"/>
  <c r="G89" i="4"/>
  <c r="H89" i="4" s="1"/>
  <c r="G91" i="4"/>
  <c r="H91" i="4" s="1"/>
  <c r="G93" i="4"/>
  <c r="H93" i="4" s="1"/>
  <c r="G96" i="4"/>
  <c r="H96" i="4" s="1"/>
  <c r="G98" i="4"/>
  <c r="H98" i="4" s="1"/>
  <c r="G100" i="4"/>
  <c r="H100" i="4" s="1"/>
  <c r="G103" i="4"/>
  <c r="H103" i="4" s="1"/>
  <c r="G105" i="4"/>
  <c r="H105" i="4" s="1"/>
  <c r="G107" i="4"/>
  <c r="H107" i="4" s="1"/>
  <c r="G117" i="4"/>
  <c r="H117" i="4" s="1"/>
  <c r="G119" i="4"/>
  <c r="H119" i="4" s="1"/>
  <c r="G121" i="4"/>
  <c r="H121" i="4" s="1"/>
  <c r="G124" i="4"/>
  <c r="H124" i="4" s="1"/>
  <c r="G126" i="4"/>
  <c r="H126" i="4" s="1"/>
  <c r="G128" i="4"/>
  <c r="H128" i="4" s="1"/>
  <c r="G130" i="4"/>
  <c r="H130" i="4" s="1"/>
  <c r="G133" i="4"/>
  <c r="H133" i="4" s="1"/>
  <c r="G135" i="4"/>
  <c r="H135" i="4" s="1"/>
  <c r="G137" i="4"/>
  <c r="H137" i="4" s="1"/>
  <c r="G147" i="4"/>
  <c r="H147" i="4" s="1"/>
  <c r="G178" i="4"/>
  <c r="H178" i="4" s="1"/>
  <c r="G182" i="4"/>
  <c r="H182" i="4" s="1"/>
  <c r="G184" i="4"/>
  <c r="H184" i="4" s="1"/>
  <c r="G186" i="4"/>
  <c r="H186" i="4" s="1"/>
  <c r="G188" i="4"/>
  <c r="H188" i="4" s="1"/>
  <c r="G239" i="4"/>
  <c r="H239" i="4" s="1"/>
  <c r="G241" i="4"/>
  <c r="H241" i="4" s="1"/>
  <c r="G243" i="4"/>
  <c r="H243" i="4" s="1"/>
  <c r="G246" i="4"/>
  <c r="H246" i="4" s="1"/>
  <c r="G248" i="4"/>
  <c r="H248" i="4" s="1"/>
  <c r="G250" i="4"/>
  <c r="H250" i="4" s="1"/>
  <c r="G260" i="4"/>
  <c r="H260" i="4" s="1"/>
  <c r="G262" i="4"/>
  <c r="H262" i="4" s="1"/>
  <c r="G264" i="4"/>
  <c r="H264" i="4" s="1"/>
  <c r="G266" i="4"/>
  <c r="H266" i="4" s="1"/>
  <c r="G268" i="4"/>
  <c r="H268" i="4" s="1"/>
  <c r="G270" i="4"/>
  <c r="H270" i="4" s="1"/>
  <c r="G273" i="4"/>
  <c r="H273" i="4" s="1"/>
  <c r="G275" i="4"/>
  <c r="H275" i="4" s="1"/>
  <c r="G277" i="4"/>
  <c r="H277" i="4" s="1"/>
  <c r="G279" i="4"/>
  <c r="H279" i="4" s="1"/>
  <c r="G281" i="4"/>
  <c r="H281" i="4" s="1"/>
  <c r="G283" i="4"/>
  <c r="H283" i="4" s="1"/>
  <c r="G368" i="4"/>
  <c r="H368" i="4" s="1"/>
  <c r="G370" i="4"/>
  <c r="H370" i="4" s="1"/>
  <c r="G372" i="4"/>
  <c r="H372" i="4" s="1"/>
  <c r="G374" i="4"/>
  <c r="H374" i="4" s="1"/>
  <c r="G383" i="4"/>
  <c r="H383" i="4" s="1"/>
  <c r="G385" i="4"/>
  <c r="H385" i="4" s="1"/>
  <c r="G387" i="4"/>
  <c r="H387" i="4" s="1"/>
  <c r="G389" i="4"/>
  <c r="H389" i="4" s="1"/>
  <c r="G391" i="4"/>
  <c r="H391" i="4" s="1"/>
  <c r="G398" i="4"/>
  <c r="H398" i="4" s="1"/>
  <c r="G400" i="4"/>
  <c r="H400" i="4" s="1"/>
  <c r="G402" i="4"/>
  <c r="H402" i="4" s="1"/>
  <c r="G415" i="4"/>
  <c r="H415" i="4" s="1"/>
  <c r="G417" i="4"/>
  <c r="H417" i="4" s="1"/>
  <c r="G419" i="4"/>
  <c r="H419" i="4" s="1"/>
  <c r="G422" i="4"/>
  <c r="H422" i="4" s="1"/>
  <c r="G424" i="4"/>
  <c r="H424" i="4" s="1"/>
  <c r="G426" i="4"/>
  <c r="H426" i="4" s="1"/>
  <c r="G429" i="4"/>
  <c r="H429" i="4" s="1"/>
  <c r="G431" i="4"/>
  <c r="H431" i="4" s="1"/>
  <c r="G433" i="4"/>
  <c r="H433" i="4" s="1"/>
  <c r="G67" i="4"/>
  <c r="H67" i="4" s="1"/>
  <c r="G185" i="4"/>
  <c r="H185" i="4" s="1"/>
  <c r="G430" i="4"/>
  <c r="H430" i="4" s="1"/>
  <c r="G172" i="4"/>
  <c r="H172" i="4" s="1"/>
  <c r="G197" i="4"/>
  <c r="H197" i="4" s="1"/>
  <c r="G13" i="4"/>
  <c r="H13" i="4" s="1"/>
  <c r="G15" i="4"/>
  <c r="H15" i="4" s="1"/>
  <c r="G24" i="4"/>
  <c r="H24" i="4" s="1"/>
  <c r="G26" i="4"/>
  <c r="H26" i="4" s="1"/>
  <c r="G28" i="4"/>
  <c r="H28" i="4" s="1"/>
  <c r="G30" i="4"/>
  <c r="H30" i="4" s="1"/>
  <c r="G33" i="4"/>
  <c r="H33" i="4" s="1"/>
  <c r="G35" i="4"/>
  <c r="H35" i="4" s="1"/>
  <c r="G37" i="4"/>
  <c r="H37" i="4" s="1"/>
  <c r="G40" i="4"/>
  <c r="H40" i="4" s="1"/>
  <c r="G42" i="4"/>
  <c r="H42" i="4" s="1"/>
  <c r="G44" i="4"/>
  <c r="H44" i="4" s="1"/>
  <c r="G60" i="4"/>
  <c r="H60" i="4" s="1"/>
  <c r="G62" i="4"/>
  <c r="H62" i="4" s="1"/>
  <c r="G64" i="4"/>
  <c r="H64" i="4" s="1"/>
  <c r="G109" i="4"/>
  <c r="H109" i="4" s="1"/>
  <c r="G111" i="4"/>
  <c r="H111" i="4" s="1"/>
  <c r="G113" i="4"/>
  <c r="H113" i="4" s="1"/>
  <c r="G116" i="4"/>
  <c r="H116" i="4" s="1"/>
  <c r="G118" i="4"/>
  <c r="H118" i="4" s="1"/>
  <c r="G120" i="4"/>
  <c r="H120" i="4" s="1"/>
  <c r="G139" i="4"/>
  <c r="H139" i="4" s="1"/>
  <c r="G141" i="4"/>
  <c r="H141" i="4" s="1"/>
  <c r="G143" i="4"/>
  <c r="H143" i="4" s="1"/>
  <c r="G145" i="4"/>
  <c r="H145" i="4" s="1"/>
  <c r="G177" i="4"/>
  <c r="H177" i="4" s="1"/>
  <c r="G179" i="4"/>
  <c r="H179" i="4" s="1"/>
  <c r="G183" i="4"/>
  <c r="H183" i="4" s="1"/>
  <c r="G203" i="4"/>
  <c r="H203" i="4" s="1"/>
  <c r="G206" i="4"/>
  <c r="H206" i="4" s="1"/>
  <c r="G208" i="4"/>
  <c r="H208" i="4" s="1"/>
  <c r="G210" i="4"/>
  <c r="H210" i="4" s="1"/>
  <c r="G229" i="4"/>
  <c r="H229" i="4" s="1"/>
  <c r="G240" i="4"/>
  <c r="H240" i="4" s="1"/>
  <c r="G242" i="4"/>
  <c r="H242" i="4" s="1"/>
  <c r="G244" i="4"/>
  <c r="H244" i="4" s="1"/>
  <c r="G247" i="4"/>
  <c r="H247" i="4" s="1"/>
  <c r="G249" i="4"/>
  <c r="H249" i="4" s="1"/>
  <c r="G251" i="4"/>
  <c r="H251" i="4" s="1"/>
  <c r="G261" i="4"/>
  <c r="H261" i="4" s="1"/>
  <c r="G263" i="4"/>
  <c r="H263" i="4" s="1"/>
  <c r="G265" i="4"/>
  <c r="H265" i="4" s="1"/>
  <c r="G267" i="4"/>
  <c r="H267" i="4" s="1"/>
  <c r="G269" i="4"/>
  <c r="H269" i="4" s="1"/>
  <c r="G271" i="4"/>
  <c r="H271" i="4" s="1"/>
  <c r="G274" i="4"/>
  <c r="H274" i="4" s="1"/>
  <c r="G276" i="4"/>
  <c r="H276" i="4" s="1"/>
  <c r="G278" i="4"/>
  <c r="H278" i="4" s="1"/>
  <c r="G280" i="4"/>
  <c r="H280" i="4" s="1"/>
  <c r="G282" i="4"/>
  <c r="H282" i="4" s="1"/>
  <c r="G367" i="4"/>
  <c r="H367" i="4" s="1"/>
  <c r="G369" i="4"/>
  <c r="H369" i="4" s="1"/>
  <c r="G371" i="4"/>
  <c r="H371" i="4" s="1"/>
  <c r="G373" i="4"/>
  <c r="H373" i="4" s="1"/>
  <c r="G375" i="4"/>
  <c r="H375" i="4" s="1"/>
  <c r="G384" i="4"/>
  <c r="H384" i="4" s="1"/>
  <c r="G386" i="4"/>
  <c r="H386" i="4" s="1"/>
  <c r="G388" i="4"/>
  <c r="H388" i="4" s="1"/>
  <c r="G390" i="4"/>
  <c r="H390" i="4" s="1"/>
  <c r="G397" i="4"/>
  <c r="H397" i="4" s="1"/>
  <c r="G399" i="4"/>
  <c r="H399" i="4" s="1"/>
  <c r="G401" i="4"/>
  <c r="H401" i="4" s="1"/>
  <c r="G403" i="4"/>
  <c r="H403" i="4" s="1"/>
  <c r="G416" i="4"/>
  <c r="H416" i="4" s="1"/>
  <c r="G418" i="4"/>
  <c r="H418" i="4" s="1"/>
  <c r="G420" i="4"/>
  <c r="H420" i="4" s="1"/>
  <c r="G423" i="4"/>
  <c r="H423" i="4" s="1"/>
  <c r="G425" i="4"/>
  <c r="H425" i="4" s="1"/>
  <c r="G427" i="4"/>
  <c r="H427" i="4" s="1"/>
  <c r="G207" i="4"/>
  <c r="H207" i="4" s="1"/>
  <c r="G224" i="4"/>
  <c r="H224" i="4" s="1"/>
  <c r="G432" i="4"/>
  <c r="H432" i="4" s="1"/>
  <c r="G226" i="4"/>
  <c r="H226" i="4" s="1"/>
  <c r="G209" i="4"/>
  <c r="H209" i="4" s="1"/>
  <c r="G199" i="4"/>
  <c r="H199" i="4" s="1"/>
  <c r="G187" i="4"/>
  <c r="H187" i="4" s="1"/>
  <c r="G140" i="4"/>
  <c r="H140" i="4" s="1"/>
  <c r="G142" i="4"/>
  <c r="H142" i="4" s="1"/>
  <c r="G144" i="4"/>
  <c r="H144" i="4" s="1"/>
  <c r="G132" i="4"/>
  <c r="H132" i="4" s="1"/>
  <c r="G134" i="4"/>
  <c r="H134" i="4" s="1"/>
  <c r="G136" i="4"/>
  <c r="H136" i="4" s="1"/>
  <c r="G123" i="4"/>
  <c r="H123" i="4" s="1"/>
  <c r="G125" i="4"/>
  <c r="H125" i="4" s="1"/>
  <c r="G127" i="4"/>
  <c r="H127" i="4" s="1"/>
  <c r="G129" i="4"/>
  <c r="H129" i="4" s="1"/>
  <c r="G110" i="4"/>
  <c r="H110" i="4" s="1"/>
  <c r="G112" i="4"/>
  <c r="H112" i="4" s="1"/>
  <c r="G114" i="4"/>
  <c r="H114" i="4" s="1"/>
  <c r="G102" i="4"/>
  <c r="H102" i="4" s="1"/>
  <c r="G104" i="4"/>
  <c r="H104" i="4" s="1"/>
  <c r="G106" i="4"/>
  <c r="H106" i="4" s="1"/>
  <c r="G95" i="4"/>
  <c r="H95" i="4" s="1"/>
  <c r="G97" i="4"/>
  <c r="H97" i="4" s="1"/>
  <c r="G99" i="4"/>
  <c r="H99" i="4" s="1"/>
  <c r="G88" i="4"/>
  <c r="H88" i="4" s="1"/>
  <c r="G90" i="4"/>
  <c r="H90" i="4" s="1"/>
  <c r="G92" i="4"/>
  <c r="H92" i="4" s="1"/>
  <c r="G81" i="4"/>
  <c r="H81" i="4" s="1"/>
  <c r="G83" i="4"/>
  <c r="H83" i="4" s="1"/>
  <c r="G85" i="4"/>
  <c r="H85" i="4" s="1"/>
  <c r="G74" i="4"/>
  <c r="H74" i="4" s="1"/>
  <c r="G76" i="4"/>
  <c r="H76" i="4" s="1"/>
  <c r="G78" i="4"/>
  <c r="H78" i="4" s="1"/>
  <c r="G69" i="4"/>
  <c r="H69" i="4" s="1"/>
  <c r="G71" i="4"/>
  <c r="H71" i="4" s="1"/>
  <c r="G12" i="4"/>
  <c r="H12" i="4" s="1"/>
  <c r="G16" i="4"/>
  <c r="H16" i="4" s="1"/>
  <c r="G14" i="4"/>
  <c r="H14" i="4" s="1"/>
  <c r="I92" i="3"/>
  <c r="E83" i="1" s="1"/>
  <c r="I89" i="3"/>
  <c r="I87" i="3"/>
  <c r="E78" i="1" s="1"/>
  <c r="I84" i="3"/>
  <c r="F201" i="2" l="1"/>
  <c r="G179" i="1"/>
  <c r="F280" i="2"/>
  <c r="G242" i="1" s="1"/>
  <c r="G199" i="1"/>
  <c r="F294" i="2"/>
  <c r="G256" i="1" s="1"/>
  <c r="G213" i="1"/>
  <c r="F308" i="2"/>
  <c r="G270" i="1" s="1"/>
  <c r="G227" i="1"/>
  <c r="F286" i="2"/>
  <c r="G248" i="1" s="1"/>
  <c r="G205" i="1"/>
  <c r="F300" i="2"/>
  <c r="G262" i="1" s="1"/>
  <c r="G219" i="1"/>
  <c r="F334" i="2"/>
  <c r="G330" i="1"/>
  <c r="F198" i="2"/>
  <c r="G176" i="1"/>
  <c r="F287" i="2"/>
  <c r="G249" i="1" s="1"/>
  <c r="G206" i="1"/>
  <c r="F301" i="2"/>
  <c r="G263" i="1" s="1"/>
  <c r="G220" i="1"/>
  <c r="F329" i="2"/>
  <c r="G325" i="1"/>
  <c r="F215" i="2"/>
  <c r="F234" i="2"/>
  <c r="F279" i="2"/>
  <c r="F248" i="2"/>
  <c r="F293" i="2"/>
  <c r="F262" i="2"/>
  <c r="F307" i="2"/>
  <c r="F284" i="2"/>
  <c r="F298" i="2"/>
  <c r="F255" i="2"/>
  <c r="F241" i="2"/>
  <c r="F99" i="2"/>
  <c r="F189" i="2"/>
  <c r="F186" i="2"/>
  <c r="F39" i="2"/>
  <c r="F34" i="2"/>
  <c r="H396" i="4"/>
  <c r="H421" i="4"/>
  <c r="F336" i="1" s="1"/>
  <c r="H428" i="4"/>
  <c r="F337" i="1" s="1"/>
  <c r="H414" i="4"/>
  <c r="F335" i="1" s="1"/>
  <c r="H382" i="4"/>
  <c r="F319" i="1" s="1"/>
  <c r="H192" i="4"/>
  <c r="F163" i="1" s="1"/>
  <c r="H174" i="4"/>
  <c r="F130" i="1" s="1"/>
  <c r="H73" i="4"/>
  <c r="F89" i="1" s="1"/>
  <c r="H87" i="4"/>
  <c r="F91" i="1" s="1"/>
  <c r="H101" i="4"/>
  <c r="F93" i="1" s="1"/>
  <c r="H131" i="4"/>
  <c r="F97" i="1" s="1"/>
  <c r="H205" i="4"/>
  <c r="F164" i="1" s="1"/>
  <c r="H138" i="4"/>
  <c r="F98" i="1" s="1"/>
  <c r="H108" i="4"/>
  <c r="F94" i="1" s="1"/>
  <c r="H245" i="4"/>
  <c r="F183" i="1" s="1"/>
  <c r="H219" i="4"/>
  <c r="F173" i="1" s="1"/>
  <c r="H167" i="4"/>
  <c r="F129" i="1" s="1"/>
  <c r="H58" i="4"/>
  <c r="F87" i="1" s="1"/>
  <c r="H80" i="4"/>
  <c r="F90" i="1" s="1"/>
  <c r="H94" i="4"/>
  <c r="F92" i="1" s="1"/>
  <c r="H122" i="4"/>
  <c r="F96" i="1" s="1"/>
  <c r="H366" i="4"/>
  <c r="F275" i="1" s="1"/>
  <c r="H115" i="4"/>
  <c r="F95" i="1" s="1"/>
  <c r="H272" i="4"/>
  <c r="H259" i="4"/>
  <c r="F191" i="1" s="1"/>
  <c r="H238" i="4"/>
  <c r="F182" i="1" s="1"/>
  <c r="H181" i="4"/>
  <c r="F159" i="1" s="1"/>
  <c r="H146" i="4"/>
  <c r="F99" i="1" s="1"/>
  <c r="H65" i="4"/>
  <c r="F88" i="1" s="1"/>
  <c r="H31" i="4"/>
  <c r="F72" i="1" s="1"/>
  <c r="H38" i="4"/>
  <c r="F73" i="1" s="1"/>
  <c r="H23" i="4"/>
  <c r="F71" i="1" s="1"/>
  <c r="G17" i="6"/>
  <c r="F17" i="6"/>
  <c r="G13" i="6"/>
  <c r="F13" i="6"/>
  <c r="F93" i="6"/>
  <c r="G93" i="6"/>
  <c r="F305" i="2" l="1"/>
  <c r="G269" i="1"/>
  <c r="F291" i="2"/>
  <c r="G255" i="1"/>
  <c r="F277" i="2"/>
  <c r="G241" i="1"/>
  <c r="H408" i="4"/>
  <c r="F329" i="1" s="1"/>
  <c r="F324" i="1"/>
  <c r="H326" i="4"/>
  <c r="F235" i="1" s="1"/>
  <c r="F192" i="1"/>
  <c r="H166" i="4"/>
  <c r="H325" i="4"/>
  <c r="F234" i="1" s="1"/>
  <c r="H57" i="4"/>
  <c r="H409" i="4"/>
  <c r="F330" i="1" s="1"/>
  <c r="H404" i="4"/>
  <c r="F325" i="1" s="1"/>
  <c r="H455" i="4"/>
  <c r="F359" i="1" s="1"/>
  <c r="H456" i="4"/>
  <c r="F360" i="1" s="1"/>
  <c r="H457" i="4"/>
  <c r="F361" i="1" s="1"/>
  <c r="H364" i="4"/>
  <c r="F273" i="1" s="1"/>
  <c r="H307" i="4"/>
  <c r="F216" i="1" s="1"/>
  <c r="H321" i="4"/>
  <c r="F230" i="1" s="1"/>
  <c r="H357" i="4"/>
  <c r="F266" i="1" s="1"/>
  <c r="H343" i="4"/>
  <c r="F252" i="1" s="1"/>
  <c r="H300" i="4"/>
  <c r="F209" i="1" s="1"/>
  <c r="H314" i="4"/>
  <c r="F223" i="1" s="1"/>
  <c r="H329" i="4"/>
  <c r="F238" i="1" s="1"/>
  <c r="H350" i="4"/>
  <c r="F259" i="1" s="1"/>
  <c r="H336" i="4"/>
  <c r="F245" i="1" s="1"/>
  <c r="F116" i="1"/>
  <c r="F123" i="1"/>
  <c r="F124" i="1"/>
  <c r="F118" i="1"/>
  <c r="F126" i="1"/>
  <c r="F125" i="1"/>
  <c r="F119" i="1"/>
  <c r="H253" i="4"/>
  <c r="F185" i="1" s="1"/>
  <c r="F127" i="1"/>
  <c r="F120" i="1"/>
  <c r="F122" i="1"/>
  <c r="F121" i="1"/>
  <c r="F117" i="1"/>
  <c r="H293" i="4"/>
  <c r="F202" i="1" s="1"/>
  <c r="H286" i="4"/>
  <c r="H154" i="4"/>
  <c r="F102" i="1" s="1"/>
  <c r="H161" i="4"/>
  <c r="F109" i="1" s="1"/>
  <c r="H162" i="4"/>
  <c r="F110" i="1" s="1"/>
  <c r="H156" i="4"/>
  <c r="F104" i="1" s="1"/>
  <c r="H164" i="4"/>
  <c r="F112" i="1" s="1"/>
  <c r="H163" i="4"/>
  <c r="F111" i="1" s="1"/>
  <c r="H157" i="4"/>
  <c r="F105" i="1" s="1"/>
  <c r="H165" i="4"/>
  <c r="F113" i="1" s="1"/>
  <c r="H158" i="4"/>
  <c r="F106" i="1" s="1"/>
  <c r="H153" i="4"/>
  <c r="F101" i="1" s="1"/>
  <c r="H160" i="4"/>
  <c r="F108" i="1" s="1"/>
  <c r="H159" i="4"/>
  <c r="F107" i="1" s="1"/>
  <c r="H155" i="4"/>
  <c r="F103" i="1" s="1"/>
  <c r="G12" i="6"/>
  <c r="F12" i="6"/>
  <c r="G16" i="6"/>
  <c r="G22" i="6"/>
  <c r="G25" i="6"/>
  <c r="G28" i="6"/>
  <c r="G31" i="6"/>
  <c r="G34" i="6"/>
  <c r="G37" i="6"/>
  <c r="G40" i="6"/>
  <c r="G43" i="6"/>
  <c r="G47" i="6"/>
  <c r="G50" i="6"/>
  <c r="G53" i="6"/>
  <c r="G56" i="6"/>
  <c r="G59" i="6"/>
  <c r="G62" i="6"/>
  <c r="G65" i="6"/>
  <c r="G68" i="6"/>
  <c r="G72" i="6"/>
  <c r="G75" i="6"/>
  <c r="G78" i="6"/>
  <c r="G81" i="6"/>
  <c r="G84" i="6"/>
  <c r="G87" i="6"/>
  <c r="G90" i="6"/>
  <c r="H447" i="4"/>
  <c r="F351" i="1" s="1"/>
  <c r="H439" i="4"/>
  <c r="F343" i="1" s="1"/>
  <c r="H440" i="4"/>
  <c r="F344" i="1" s="1"/>
  <c r="H448" i="4"/>
  <c r="F352" i="1" s="1"/>
  <c r="F16" i="6"/>
  <c r="F22" i="6"/>
  <c r="F25" i="6"/>
  <c r="F28" i="6"/>
  <c r="F31" i="6"/>
  <c r="F34" i="6"/>
  <c r="F37" i="6"/>
  <c r="F40" i="6"/>
  <c r="F43" i="6"/>
  <c r="F47" i="6"/>
  <c r="F50" i="6"/>
  <c r="F53" i="6"/>
  <c r="F56" i="6"/>
  <c r="F59" i="6"/>
  <c r="F62" i="6"/>
  <c r="F65" i="6"/>
  <c r="F68" i="6"/>
  <c r="F72" i="6"/>
  <c r="F75" i="6"/>
  <c r="F78" i="6"/>
  <c r="F81" i="6"/>
  <c r="F84" i="6"/>
  <c r="F87" i="6"/>
  <c r="F90" i="6"/>
  <c r="H449" i="4"/>
  <c r="F353" i="1" s="1"/>
  <c r="H441" i="4"/>
  <c r="F345" i="1" s="1"/>
  <c r="H318" i="4"/>
  <c r="H311" i="4"/>
  <c r="H304" i="4"/>
  <c r="H297" i="4"/>
  <c r="H290" i="4"/>
  <c r="H317" i="4"/>
  <c r="F226" i="1" s="1"/>
  <c r="H310" i="4"/>
  <c r="H303" i="4"/>
  <c r="F212" i="1" s="1"/>
  <c r="H296" i="4"/>
  <c r="H289" i="4"/>
  <c r="F198" i="1" s="1"/>
  <c r="H218" i="4"/>
  <c r="H235" i="4"/>
  <c r="H232" i="4"/>
  <c r="H216" i="4"/>
  <c r="F170" i="1" s="1"/>
  <c r="H213" i="4"/>
  <c r="F167" i="1" s="1"/>
  <c r="H191" i="4"/>
  <c r="H215" i="4"/>
  <c r="F169" i="1" s="1"/>
  <c r="H212" i="4"/>
  <c r="F166" i="1" s="1"/>
  <c r="H49" i="4"/>
  <c r="F78" i="1" s="1"/>
  <c r="H54" i="4"/>
  <c r="F83" i="1" s="1"/>
  <c r="H47" i="4"/>
  <c r="F76" i="1" s="1"/>
  <c r="H52" i="4"/>
  <c r="F81" i="1" s="1"/>
  <c r="H48" i="4"/>
  <c r="F77" i="1" s="1"/>
  <c r="H53" i="4"/>
  <c r="F82" i="1" s="1"/>
  <c r="H21" i="4"/>
  <c r="H252" i="4"/>
  <c r="F184" i="1" s="1"/>
  <c r="H13" i="6"/>
  <c r="I13" i="6" s="1"/>
  <c r="H17" i="6"/>
  <c r="I17" i="6" s="1"/>
  <c r="G383" i="3"/>
  <c r="G382" i="3"/>
  <c r="G380" i="3"/>
  <c r="G379" i="3"/>
  <c r="G377" i="3"/>
  <c r="G376" i="3"/>
  <c r="G364" i="3"/>
  <c r="G363" i="3"/>
  <c r="G362" i="3"/>
  <c r="G356" i="3"/>
  <c r="G311" i="3"/>
  <c r="G310" i="3"/>
  <c r="G309" i="3"/>
  <c r="G225" i="3"/>
  <c r="G223" i="3"/>
  <c r="G214" i="3"/>
  <c r="G213" i="3"/>
  <c r="G193" i="3"/>
  <c r="G192" i="3"/>
  <c r="G191" i="3"/>
  <c r="G189" i="3"/>
  <c r="G155" i="3"/>
  <c r="G154" i="3"/>
  <c r="G153" i="3"/>
  <c r="G151" i="3"/>
  <c r="G150" i="3"/>
  <c r="G133" i="3"/>
  <c r="G132" i="3"/>
  <c r="G131" i="3"/>
  <c r="G128" i="3"/>
  <c r="G126" i="3"/>
  <c r="G125" i="3"/>
  <c r="G124" i="3"/>
  <c r="G122" i="3"/>
  <c r="G120" i="3"/>
  <c r="G119" i="3"/>
  <c r="G118" i="3"/>
  <c r="G116" i="3"/>
  <c r="G114" i="3"/>
  <c r="G113" i="3"/>
  <c r="G112" i="3"/>
  <c r="G110" i="3"/>
  <c r="G109" i="3"/>
  <c r="G108" i="3"/>
  <c r="G106" i="3"/>
  <c r="G105" i="3"/>
  <c r="G104" i="3"/>
  <c r="G102" i="3"/>
  <c r="G99" i="3"/>
  <c r="G98" i="3"/>
  <c r="G97" i="3"/>
  <c r="G81" i="3"/>
  <c r="G80" i="3"/>
  <c r="G79" i="3"/>
  <c r="G77" i="3"/>
  <c r="G76" i="3"/>
  <c r="G75" i="3"/>
  <c r="G13" i="3"/>
  <c r="G12" i="3"/>
  <c r="F12" i="3"/>
  <c r="F383" i="3"/>
  <c r="F382" i="3"/>
  <c r="F380" i="3"/>
  <c r="F379" i="3"/>
  <c r="F377" i="3"/>
  <c r="F376" i="3"/>
  <c r="F364" i="3"/>
  <c r="F363" i="3"/>
  <c r="F362" i="3"/>
  <c r="F356" i="3"/>
  <c r="F311" i="3"/>
  <c r="F310" i="3"/>
  <c r="F309" i="3"/>
  <c r="F225" i="3"/>
  <c r="F223" i="3"/>
  <c r="F214" i="3"/>
  <c r="F213" i="3"/>
  <c r="F193" i="3"/>
  <c r="F192" i="3"/>
  <c r="F191" i="3"/>
  <c r="F189" i="3"/>
  <c r="F155" i="3"/>
  <c r="F154" i="3"/>
  <c r="F153" i="3"/>
  <c r="F151" i="3"/>
  <c r="F150" i="3"/>
  <c r="F133" i="3"/>
  <c r="F132" i="3"/>
  <c r="F131" i="3"/>
  <c r="F128" i="3"/>
  <c r="F126" i="3"/>
  <c r="F125" i="3"/>
  <c r="F124" i="3"/>
  <c r="F122" i="3"/>
  <c r="F120" i="3"/>
  <c r="F119" i="3"/>
  <c r="F118" i="3"/>
  <c r="F116" i="3"/>
  <c r="F114" i="3"/>
  <c r="F113" i="3"/>
  <c r="F112" i="3"/>
  <c r="F110" i="3"/>
  <c r="F109" i="3"/>
  <c r="F108" i="3"/>
  <c r="F106" i="3"/>
  <c r="F105" i="3"/>
  <c r="F104" i="3"/>
  <c r="F102" i="3"/>
  <c r="F99" i="3"/>
  <c r="F98" i="3"/>
  <c r="F97" i="3"/>
  <c r="F81" i="3"/>
  <c r="F80" i="3"/>
  <c r="F79" i="3"/>
  <c r="F77" i="3"/>
  <c r="F76" i="3"/>
  <c r="F75" i="3"/>
  <c r="H231" i="4" l="1"/>
  <c r="F176" i="1"/>
  <c r="H339" i="4"/>
  <c r="F248" i="1" s="1"/>
  <c r="F205" i="1"/>
  <c r="H353" i="4"/>
  <c r="F262" i="1" s="1"/>
  <c r="F219" i="1"/>
  <c r="H333" i="4"/>
  <c r="F242" i="1" s="1"/>
  <c r="F199" i="1"/>
  <c r="H347" i="4"/>
  <c r="F256" i="1" s="1"/>
  <c r="F213" i="1"/>
  <c r="H361" i="4"/>
  <c r="F270" i="1" s="1"/>
  <c r="F227" i="1"/>
  <c r="H257" i="4"/>
  <c r="F195" i="1"/>
  <c r="H405" i="4"/>
  <c r="H234" i="4"/>
  <c r="F179" i="1"/>
  <c r="H340" i="4"/>
  <c r="F249" i="1" s="1"/>
  <c r="F206" i="1"/>
  <c r="H354" i="4"/>
  <c r="F263" i="1" s="1"/>
  <c r="F220" i="1"/>
  <c r="H237" i="4"/>
  <c r="H323" i="4"/>
  <c r="F115" i="1"/>
  <c r="H287" i="4"/>
  <c r="H332" i="4"/>
  <c r="H301" i="4"/>
  <c r="H346" i="4"/>
  <c r="H315" i="4"/>
  <c r="H360" i="4"/>
  <c r="H337" i="4"/>
  <c r="H351" i="4"/>
  <c r="H214" i="4"/>
  <c r="H45" i="4"/>
  <c r="H50" i="4"/>
  <c r="H211" i="4"/>
  <c r="H294" i="4"/>
  <c r="H308" i="4"/>
  <c r="H152" i="4"/>
  <c r="H393" i="4"/>
  <c r="H12" i="6"/>
  <c r="I12" i="6" s="1"/>
  <c r="I14" i="6" s="1"/>
  <c r="H16" i="6"/>
  <c r="I16" i="6" s="1"/>
  <c r="I11" i="6"/>
  <c r="I313" i="3" s="1"/>
  <c r="H76" i="3"/>
  <c r="I76" i="3" s="1"/>
  <c r="H79" i="3"/>
  <c r="I79" i="3" s="1"/>
  <c r="H81" i="3"/>
  <c r="I81" i="3" s="1"/>
  <c r="H98" i="3"/>
  <c r="I98" i="3" s="1"/>
  <c r="H102" i="3"/>
  <c r="I102" i="3" s="1"/>
  <c r="I101" i="3" s="1"/>
  <c r="E89" i="1" s="1"/>
  <c r="H105" i="3"/>
  <c r="I105" i="3" s="1"/>
  <c r="H108" i="3"/>
  <c r="I108" i="3" s="1"/>
  <c r="H110" i="3"/>
  <c r="I110" i="3" s="1"/>
  <c r="H113" i="3"/>
  <c r="I113" i="3" s="1"/>
  <c r="H116" i="3"/>
  <c r="I116" i="3" s="1"/>
  <c r="I115" i="3" s="1"/>
  <c r="E93" i="1" s="1"/>
  <c r="H119" i="3"/>
  <c r="I119" i="3" s="1"/>
  <c r="H122" i="3"/>
  <c r="I122" i="3" s="1"/>
  <c r="I121" i="3" s="1"/>
  <c r="E95" i="1" s="1"/>
  <c r="H125" i="3"/>
  <c r="I125" i="3" s="1"/>
  <c r="H128" i="3"/>
  <c r="I128" i="3" s="1"/>
  <c r="I127" i="3" s="1"/>
  <c r="E97" i="1" s="1"/>
  <c r="H132" i="3"/>
  <c r="I132" i="3" s="1"/>
  <c r="H150" i="3"/>
  <c r="I150" i="3" s="1"/>
  <c r="H153" i="3"/>
  <c r="I153" i="3" s="1"/>
  <c r="H155" i="3"/>
  <c r="I155" i="3" s="1"/>
  <c r="H191" i="3"/>
  <c r="I191" i="3" s="1"/>
  <c r="H193" i="3"/>
  <c r="I193" i="3" s="1"/>
  <c r="H214" i="3"/>
  <c r="I214" i="3" s="1"/>
  <c r="H225" i="3"/>
  <c r="I225" i="3" s="1"/>
  <c r="I224" i="3" s="1"/>
  <c r="E192" i="1" s="1"/>
  <c r="H310" i="3"/>
  <c r="I310" i="3" s="1"/>
  <c r="H356" i="3"/>
  <c r="I356" i="3" s="1"/>
  <c r="I355" i="3" s="1"/>
  <c r="E319" i="1" s="1"/>
  <c r="H363" i="3"/>
  <c r="I363" i="3" s="1"/>
  <c r="H376" i="3"/>
  <c r="I376" i="3" s="1"/>
  <c r="H379" i="3"/>
  <c r="I379" i="3" s="1"/>
  <c r="H382" i="3"/>
  <c r="I382" i="3" s="1"/>
  <c r="H75" i="3"/>
  <c r="I75" i="3" s="1"/>
  <c r="H77" i="3"/>
  <c r="I77" i="3" s="1"/>
  <c r="H80" i="3"/>
  <c r="I80" i="3" s="1"/>
  <c r="H97" i="3"/>
  <c r="I97" i="3" s="1"/>
  <c r="H99" i="3"/>
  <c r="I99" i="3" s="1"/>
  <c r="H104" i="3"/>
  <c r="I104" i="3" s="1"/>
  <c r="H106" i="3"/>
  <c r="I106" i="3" s="1"/>
  <c r="H109" i="3"/>
  <c r="I109" i="3" s="1"/>
  <c r="H112" i="3"/>
  <c r="I112" i="3" s="1"/>
  <c r="H114" i="3"/>
  <c r="I114" i="3" s="1"/>
  <c r="H118" i="3"/>
  <c r="I118" i="3" s="1"/>
  <c r="H120" i="3"/>
  <c r="I120" i="3" s="1"/>
  <c r="H124" i="3"/>
  <c r="I124" i="3" s="1"/>
  <c r="H126" i="3"/>
  <c r="I126" i="3" s="1"/>
  <c r="H131" i="3"/>
  <c r="I131" i="3" s="1"/>
  <c r="H133" i="3"/>
  <c r="I133" i="3" s="1"/>
  <c r="H151" i="3"/>
  <c r="I151" i="3" s="1"/>
  <c r="H154" i="3"/>
  <c r="I154" i="3" s="1"/>
  <c r="H189" i="3"/>
  <c r="I189" i="3" s="1"/>
  <c r="I188" i="3" s="1"/>
  <c r="H192" i="3"/>
  <c r="I192" i="3" s="1"/>
  <c r="H213" i="3"/>
  <c r="I213" i="3" s="1"/>
  <c r="I212" i="3" s="1"/>
  <c r="E183" i="1" s="1"/>
  <c r="H223" i="3"/>
  <c r="I223" i="3" s="1"/>
  <c r="I222" i="3" s="1"/>
  <c r="E191" i="1" s="1"/>
  <c r="H309" i="3"/>
  <c r="I309" i="3" s="1"/>
  <c r="H311" i="3"/>
  <c r="I311" i="3" s="1"/>
  <c r="H362" i="3"/>
  <c r="I362" i="3" s="1"/>
  <c r="H364" i="3"/>
  <c r="I364" i="3" s="1"/>
  <c r="H377" i="3"/>
  <c r="I377" i="3" s="1"/>
  <c r="H380" i="3"/>
  <c r="I380" i="3" s="1"/>
  <c r="H383" i="3"/>
  <c r="I383" i="3" s="1"/>
  <c r="E13" i="9"/>
  <c r="F13" i="9" s="1"/>
  <c r="G13" i="9" s="1"/>
  <c r="E12" i="9"/>
  <c r="F12" i="9" s="1"/>
  <c r="G12" i="9" s="1"/>
  <c r="J9" i="10"/>
  <c r="I9" i="10"/>
  <c r="H9" i="10"/>
  <c r="G9" i="10"/>
  <c r="F9" i="10"/>
  <c r="E9" i="10"/>
  <c r="H358" i="4" l="1"/>
  <c r="F269" i="1"/>
  <c r="H344" i="4"/>
  <c r="F255" i="1"/>
  <c r="H330" i="4"/>
  <c r="F241" i="1"/>
  <c r="I316" i="3"/>
  <c r="I315" i="3"/>
  <c r="I317" i="3"/>
  <c r="I314" i="3"/>
  <c r="E163" i="1"/>
  <c r="E169" i="1" s="1"/>
  <c r="I198" i="3"/>
  <c r="I268" i="3"/>
  <c r="E235" i="1" s="1"/>
  <c r="I267" i="3"/>
  <c r="E234" i="1" s="1"/>
  <c r="I231" i="3"/>
  <c r="E198" i="1" s="1"/>
  <c r="I252" i="3"/>
  <c r="I238" i="3"/>
  <c r="I259" i="3"/>
  <c r="I245" i="3"/>
  <c r="I239" i="3"/>
  <c r="I260" i="3"/>
  <c r="I246" i="3"/>
  <c r="I253" i="3"/>
  <c r="I232" i="3"/>
  <c r="I18" i="6"/>
  <c r="I15" i="6" s="1"/>
  <c r="I350" i="3" s="1"/>
  <c r="E125" i="1"/>
  <c r="E123" i="1"/>
  <c r="E121" i="1"/>
  <c r="I195" i="3"/>
  <c r="E166" i="1" s="1"/>
  <c r="E117" i="1"/>
  <c r="I361" i="3"/>
  <c r="I137" i="3"/>
  <c r="E103" i="1" s="1"/>
  <c r="I145" i="3"/>
  <c r="E111" i="1" s="1"/>
  <c r="I143" i="3"/>
  <c r="E109" i="1" s="1"/>
  <c r="I141" i="3"/>
  <c r="E107" i="1" s="1"/>
  <c r="I381" i="3"/>
  <c r="I375" i="3"/>
  <c r="I378" i="3"/>
  <c r="E336" i="1" s="1"/>
  <c r="I308" i="3"/>
  <c r="E275" i="1" s="1"/>
  <c r="I130" i="3"/>
  <c r="E99" i="1" s="1"/>
  <c r="I123" i="3"/>
  <c r="E96" i="1" s="1"/>
  <c r="I190" i="3"/>
  <c r="E164" i="1" s="1"/>
  <c r="E170" i="1" s="1"/>
  <c r="I103" i="3"/>
  <c r="E90" i="1" s="1"/>
  <c r="I96" i="3"/>
  <c r="E87" i="1" s="1"/>
  <c r="I149" i="3"/>
  <c r="E129" i="1" s="1"/>
  <c r="I78" i="3"/>
  <c r="E72" i="1" s="1"/>
  <c r="I117" i="3"/>
  <c r="E94" i="1" s="1"/>
  <c r="I111" i="3"/>
  <c r="E92" i="1" s="1"/>
  <c r="I152" i="3"/>
  <c r="E130" i="1" s="1"/>
  <c r="I107" i="3"/>
  <c r="E91" i="1" s="1"/>
  <c r="H13" i="9"/>
  <c r="H12" i="9"/>
  <c r="I407" i="3" l="1"/>
  <c r="E361" i="1" s="1"/>
  <c r="E337" i="1"/>
  <c r="I405" i="3"/>
  <c r="E359" i="1" s="1"/>
  <c r="E335" i="1"/>
  <c r="I369" i="3"/>
  <c r="E329" i="1" s="1"/>
  <c r="E324" i="1"/>
  <c r="I354" i="3"/>
  <c r="E318" i="1" s="1"/>
  <c r="I352" i="3"/>
  <c r="E316" i="1" s="1"/>
  <c r="E314" i="1"/>
  <c r="I353" i="3"/>
  <c r="E317" i="1" s="1"/>
  <c r="I351" i="3"/>
  <c r="E315" i="1" s="1"/>
  <c r="I275" i="3"/>
  <c r="E242" i="1" s="1"/>
  <c r="E199" i="1"/>
  <c r="I289" i="3"/>
  <c r="E256" i="1" s="1"/>
  <c r="E213" i="1"/>
  <c r="I282" i="3"/>
  <c r="E249" i="1" s="1"/>
  <c r="E206" i="1"/>
  <c r="I302" i="3"/>
  <c r="E269" i="1" s="1"/>
  <c r="E226" i="1"/>
  <c r="I295" i="3"/>
  <c r="E262" i="1" s="1"/>
  <c r="E219" i="1"/>
  <c r="I296" i="3"/>
  <c r="E263" i="1" s="1"/>
  <c r="E220" i="1"/>
  <c r="I303" i="3"/>
  <c r="E270" i="1" s="1"/>
  <c r="E227" i="1"/>
  <c r="I288" i="3"/>
  <c r="E255" i="1" s="1"/>
  <c r="E212" i="1"/>
  <c r="I281" i="3"/>
  <c r="E248" i="1" s="1"/>
  <c r="E205" i="1"/>
  <c r="I406" i="3"/>
  <c r="E360" i="1" s="1"/>
  <c r="J13" i="9"/>
  <c r="E300" i="8"/>
  <c r="J12" i="9"/>
  <c r="E263" i="8"/>
  <c r="G263" i="8" s="1"/>
  <c r="E115" i="1"/>
  <c r="I95" i="3"/>
  <c r="I274" i="3"/>
  <c r="E241" i="1" s="1"/>
  <c r="I299" i="3"/>
  <c r="I285" i="3"/>
  <c r="I271" i="3"/>
  <c r="I263" i="3"/>
  <c r="I249" i="3"/>
  <c r="E216" i="1" s="1"/>
  <c r="I235" i="3"/>
  <c r="I306" i="3"/>
  <c r="E273" i="1" s="1"/>
  <c r="I292" i="3"/>
  <c r="I278" i="3"/>
  <c r="E245" i="1" s="1"/>
  <c r="I256" i="3"/>
  <c r="I242" i="3"/>
  <c r="E209" i="1" s="1"/>
  <c r="I187" i="3"/>
  <c r="I243" i="3"/>
  <c r="E120" i="1"/>
  <c r="I370" i="3"/>
  <c r="E127" i="1"/>
  <c r="I399" i="3"/>
  <c r="E353" i="1" s="1"/>
  <c r="E119" i="1"/>
  <c r="E122" i="1"/>
  <c r="E118" i="1"/>
  <c r="E124" i="1"/>
  <c r="I389" i="3"/>
  <c r="E343" i="1" s="1"/>
  <c r="I365" i="3"/>
  <c r="E325" i="1" s="1"/>
  <c r="I228" i="3"/>
  <c r="E195" i="1" s="1"/>
  <c r="I196" i="3"/>
  <c r="I199" i="3"/>
  <c r="I197" i="3" s="1"/>
  <c r="I139" i="3"/>
  <c r="E105" i="1" s="1"/>
  <c r="I142" i="3"/>
  <c r="E108" i="1" s="1"/>
  <c r="I138" i="3"/>
  <c r="E104" i="1" s="1"/>
  <c r="I144" i="3"/>
  <c r="E110" i="1" s="1"/>
  <c r="I140" i="3"/>
  <c r="E106" i="1" s="1"/>
  <c r="I135" i="3"/>
  <c r="E101" i="1" s="1"/>
  <c r="I147" i="3"/>
  <c r="E113" i="1" s="1"/>
  <c r="I391" i="3"/>
  <c r="E345" i="1" s="1"/>
  <c r="I397" i="3"/>
  <c r="E351" i="1" s="1"/>
  <c r="I216" i="3"/>
  <c r="E185" i="1" s="1"/>
  <c r="I215" i="3"/>
  <c r="E184" i="1" s="1"/>
  <c r="I390" i="3"/>
  <c r="E344" i="1" s="1"/>
  <c r="I398" i="3"/>
  <c r="E352" i="1" s="1"/>
  <c r="I86" i="3"/>
  <c r="E77" i="1" s="1"/>
  <c r="I91" i="3"/>
  <c r="E82" i="1" s="1"/>
  <c r="H93" i="6"/>
  <c r="I93" i="6" s="1"/>
  <c r="I94" i="6" s="1"/>
  <c r="H90" i="6"/>
  <c r="I90" i="6" s="1"/>
  <c r="I91" i="6" s="1"/>
  <c r="H87" i="6"/>
  <c r="I87" i="6" s="1"/>
  <c r="I88" i="6" s="1"/>
  <c r="H84" i="6"/>
  <c r="I84" i="6" s="1"/>
  <c r="I85" i="6" s="1"/>
  <c r="H81" i="6"/>
  <c r="I81" i="6" s="1"/>
  <c r="I82" i="6" s="1"/>
  <c r="H78" i="6"/>
  <c r="I78" i="6" s="1"/>
  <c r="I79" i="6" s="1"/>
  <c r="H75" i="6"/>
  <c r="I75" i="6" s="1"/>
  <c r="I76" i="6" s="1"/>
  <c r="H72" i="6"/>
  <c r="I72" i="6" s="1"/>
  <c r="I73" i="6" s="1"/>
  <c r="H68" i="6"/>
  <c r="I68" i="6" s="1"/>
  <c r="I69" i="6" s="1"/>
  <c r="H65" i="6"/>
  <c r="I65" i="6" s="1"/>
  <c r="I66" i="6" s="1"/>
  <c r="H62" i="6"/>
  <c r="I62" i="6" s="1"/>
  <c r="I63" i="6" s="1"/>
  <c r="H59" i="6"/>
  <c r="I59" i="6" s="1"/>
  <c r="I60" i="6" s="1"/>
  <c r="H56" i="6"/>
  <c r="I56" i="6" s="1"/>
  <c r="I57" i="6" s="1"/>
  <c r="H53" i="6"/>
  <c r="I53" i="6" s="1"/>
  <c r="I54" i="6" s="1"/>
  <c r="H50" i="6"/>
  <c r="I50" i="6" s="1"/>
  <c r="I51" i="6" s="1"/>
  <c r="H47" i="6"/>
  <c r="I47" i="6" s="1"/>
  <c r="I48" i="6" s="1"/>
  <c r="E70" i="9"/>
  <c r="F70" i="9" s="1"/>
  <c r="E69" i="9"/>
  <c r="F69" i="9" s="1"/>
  <c r="E68" i="9"/>
  <c r="F68" i="9" s="1"/>
  <c r="E67" i="9"/>
  <c r="F67" i="9" s="1"/>
  <c r="E66" i="9"/>
  <c r="F66" i="9" s="1"/>
  <c r="E65" i="9"/>
  <c r="F65" i="9" s="1"/>
  <c r="E64" i="9"/>
  <c r="F64" i="9" s="1"/>
  <c r="E63" i="9"/>
  <c r="F63" i="9" s="1"/>
  <c r="E61" i="9"/>
  <c r="F61" i="9" s="1"/>
  <c r="E60" i="9"/>
  <c r="F60" i="9" s="1"/>
  <c r="E59" i="9"/>
  <c r="F59" i="9" s="1"/>
  <c r="E58" i="9"/>
  <c r="F58" i="9" s="1"/>
  <c r="E57" i="9"/>
  <c r="F57" i="9" s="1"/>
  <c r="E56" i="9"/>
  <c r="F56" i="9" s="1"/>
  <c r="E55" i="9"/>
  <c r="F55" i="9" s="1"/>
  <c r="E54" i="9"/>
  <c r="F54" i="9" s="1"/>
  <c r="E52" i="9"/>
  <c r="F52" i="9" s="1"/>
  <c r="E51" i="9"/>
  <c r="F51" i="9" s="1"/>
  <c r="E50" i="9"/>
  <c r="F50" i="9" s="1"/>
  <c r="E49" i="9"/>
  <c r="F49" i="9" s="1"/>
  <c r="E48" i="9"/>
  <c r="F48" i="9" s="1"/>
  <c r="E47" i="9"/>
  <c r="F47" i="9" s="1"/>
  <c r="E46" i="9"/>
  <c r="F46" i="9" s="1"/>
  <c r="G46" i="9" s="1"/>
  <c r="E45" i="9"/>
  <c r="F45" i="9" s="1"/>
  <c r="E42" i="9"/>
  <c r="F42" i="9" s="1"/>
  <c r="E41" i="9"/>
  <c r="F41" i="9" s="1"/>
  <c r="E40" i="9"/>
  <c r="F40" i="9" s="1"/>
  <c r="E39" i="9"/>
  <c r="F39" i="9" s="1"/>
  <c r="E38" i="9"/>
  <c r="F38" i="9" s="1"/>
  <c r="E37" i="9"/>
  <c r="F37" i="9" s="1"/>
  <c r="E36" i="9"/>
  <c r="F36" i="9" s="1"/>
  <c r="E35" i="9"/>
  <c r="F35" i="9" s="1"/>
  <c r="E33" i="9"/>
  <c r="F33" i="9" s="1"/>
  <c r="E32" i="9"/>
  <c r="F32" i="9" s="1"/>
  <c r="E31" i="9"/>
  <c r="F31" i="9" s="1"/>
  <c r="E30" i="9"/>
  <c r="F30" i="9" s="1"/>
  <c r="E29" i="9"/>
  <c r="F29" i="9" s="1"/>
  <c r="E28" i="9"/>
  <c r="F28" i="9" s="1"/>
  <c r="E27" i="9"/>
  <c r="F27" i="9" s="1"/>
  <c r="E26" i="9"/>
  <c r="F26" i="9" s="1"/>
  <c r="E24" i="9"/>
  <c r="F24" i="9" s="1"/>
  <c r="G24" i="9" s="1"/>
  <c r="H24" i="9" s="1"/>
  <c r="E280" i="8" s="1"/>
  <c r="G280" i="8" s="1"/>
  <c r="D294" i="1" s="1"/>
  <c r="E23" i="9"/>
  <c r="F23" i="9" s="1"/>
  <c r="G23" i="9" s="1"/>
  <c r="H23" i="9" s="1"/>
  <c r="E279" i="8" s="1"/>
  <c r="G279" i="8" s="1"/>
  <c r="D293" i="1" s="1"/>
  <c r="E22" i="9"/>
  <c r="F22" i="9" s="1"/>
  <c r="G22" i="9" s="1"/>
  <c r="H22" i="9" s="1"/>
  <c r="E278" i="8" s="1"/>
  <c r="G278" i="8" s="1"/>
  <c r="D292" i="1" s="1"/>
  <c r="E21" i="9"/>
  <c r="F21" i="9" s="1"/>
  <c r="G21" i="9" s="1"/>
  <c r="H21" i="9" s="1"/>
  <c r="E277" i="8" s="1"/>
  <c r="G277" i="8" s="1"/>
  <c r="D291" i="1" s="1"/>
  <c r="E20" i="9"/>
  <c r="F20" i="9" s="1"/>
  <c r="G20" i="9" s="1"/>
  <c r="H20" i="9" s="1"/>
  <c r="E276" i="8" s="1"/>
  <c r="G276" i="8" s="1"/>
  <c r="D290" i="1" s="1"/>
  <c r="E19" i="9"/>
  <c r="F19" i="9" s="1"/>
  <c r="G19" i="9" s="1"/>
  <c r="H19" i="9" s="1"/>
  <c r="E275" i="8" s="1"/>
  <c r="G275" i="8" s="1"/>
  <c r="D289" i="1" s="1"/>
  <c r="E18" i="9"/>
  <c r="F18" i="9" s="1"/>
  <c r="G18" i="9" s="1"/>
  <c r="H18" i="9" s="1"/>
  <c r="E274" i="8" s="1"/>
  <c r="G274" i="8" s="1"/>
  <c r="D288" i="1" s="1"/>
  <c r="E17" i="9"/>
  <c r="F17" i="9" s="1"/>
  <c r="C9" i="10"/>
  <c r="I300" i="3" l="1"/>
  <c r="I366" i="3"/>
  <c r="E330" i="1"/>
  <c r="I236" i="3"/>
  <c r="I272" i="3"/>
  <c r="I360" i="1"/>
  <c r="I359" i="1"/>
  <c r="I194" i="3"/>
  <c r="E167" i="1"/>
  <c r="I265" i="3"/>
  <c r="E238" i="1"/>
  <c r="I293" i="3"/>
  <c r="E266" i="1"/>
  <c r="I361" i="1"/>
  <c r="I250" i="3"/>
  <c r="E223" i="1"/>
  <c r="I286" i="3"/>
  <c r="E259" i="1"/>
  <c r="I229" i="3"/>
  <c r="E202" i="1"/>
  <c r="I257" i="3"/>
  <c r="E230" i="1"/>
  <c r="I279" i="3"/>
  <c r="E252" i="1"/>
  <c r="I314" i="1"/>
  <c r="G300" i="8"/>
  <c r="G266" i="8"/>
  <c r="D280" i="1" s="1"/>
  <c r="G264" i="8"/>
  <c r="D278" i="1" s="1"/>
  <c r="D277" i="1"/>
  <c r="G267" i="8"/>
  <c r="D281" i="1" s="1"/>
  <c r="G265" i="8"/>
  <c r="D279" i="1" s="1"/>
  <c r="I220" i="3"/>
  <c r="L83" i="10"/>
  <c r="M83" i="10" s="1"/>
  <c r="L85" i="10"/>
  <c r="M85" i="10" s="1"/>
  <c r="L86" i="10"/>
  <c r="M86" i="10" s="1"/>
  <c r="L87" i="10"/>
  <c r="M87" i="10" s="1"/>
  <c r="L88" i="10"/>
  <c r="M88" i="10" s="1"/>
  <c r="I317" i="1"/>
  <c r="I318" i="1"/>
  <c r="I315" i="1"/>
  <c r="I316" i="1"/>
  <c r="I210" i="3"/>
  <c r="I280" i="1"/>
  <c r="I281" i="1"/>
  <c r="I279" i="1"/>
  <c r="I278" i="1"/>
  <c r="I277" i="1"/>
  <c r="I358" i="3"/>
  <c r="I134" i="3"/>
  <c r="J19" i="9"/>
  <c r="E15" i="8"/>
  <c r="G15" i="8" s="1"/>
  <c r="D15" i="1" s="1"/>
  <c r="E43" i="8"/>
  <c r="G43" i="8" s="1"/>
  <c r="D43" i="1" s="1"/>
  <c r="J21" i="9"/>
  <c r="E17" i="8"/>
  <c r="G17" i="8" s="1"/>
  <c r="D17" i="1" s="1"/>
  <c r="E45" i="8"/>
  <c r="G45" i="8" s="1"/>
  <c r="D45" i="1" s="1"/>
  <c r="J23" i="9"/>
  <c r="E47" i="8"/>
  <c r="G47" i="8" s="1"/>
  <c r="D47" i="1" s="1"/>
  <c r="E19" i="8"/>
  <c r="G19" i="8" s="1"/>
  <c r="D19" i="1" s="1"/>
  <c r="J18" i="9"/>
  <c r="E42" i="8"/>
  <c r="G42" i="8" s="1"/>
  <c r="D42" i="1" s="1"/>
  <c r="E14" i="8"/>
  <c r="G14" i="8" s="1"/>
  <c r="D14" i="1" s="1"/>
  <c r="J20" i="9"/>
  <c r="E44" i="8"/>
  <c r="G44" i="8" s="1"/>
  <c r="D44" i="1" s="1"/>
  <c r="E16" i="8"/>
  <c r="G16" i="8" s="1"/>
  <c r="D16" i="1" s="1"/>
  <c r="J22" i="9"/>
  <c r="E18" i="8"/>
  <c r="G18" i="8" s="1"/>
  <c r="D18" i="1" s="1"/>
  <c r="E46" i="8"/>
  <c r="G46" i="8" s="1"/>
  <c r="D46" i="1" s="1"/>
  <c r="J24" i="9"/>
  <c r="E20" i="8"/>
  <c r="G20" i="8" s="1"/>
  <c r="D20" i="1" s="1"/>
  <c r="E48" i="8"/>
  <c r="G48" i="8" s="1"/>
  <c r="D48" i="1" s="1"/>
  <c r="L95" i="10"/>
  <c r="M95" i="10" s="1"/>
  <c r="N95" i="10" s="1"/>
  <c r="O95" i="10" s="1"/>
  <c r="L93" i="10"/>
  <c r="M93" i="10" s="1"/>
  <c r="N93" i="10" s="1"/>
  <c r="O93" i="10" s="1"/>
  <c r="L96" i="10"/>
  <c r="M96" i="10" s="1"/>
  <c r="N96" i="10" s="1"/>
  <c r="O96" i="10" s="1"/>
  <c r="L94" i="10"/>
  <c r="M94" i="10" s="1"/>
  <c r="N94" i="10" s="1"/>
  <c r="O94" i="10" s="1"/>
  <c r="L91" i="10"/>
  <c r="M91" i="10" s="1"/>
  <c r="N91" i="10" s="1"/>
  <c r="O91" i="10" s="1"/>
  <c r="L12" i="10"/>
  <c r="M12" i="10" s="1"/>
  <c r="N12" i="10" s="1"/>
  <c r="O12" i="10" s="1"/>
  <c r="E10" i="8" s="1"/>
  <c r="E270" i="8" s="1"/>
  <c r="G270" i="8" s="1"/>
  <c r="D284" i="1" s="1"/>
  <c r="L77" i="10"/>
  <c r="M77" i="10" s="1"/>
  <c r="L67" i="10"/>
  <c r="M67" i="10" s="1"/>
  <c r="L49" i="10"/>
  <c r="M49" i="10" s="1"/>
  <c r="L40" i="10"/>
  <c r="M40" i="10" s="1"/>
  <c r="N40" i="10" s="1"/>
  <c r="O40" i="10" s="1"/>
  <c r="E145" i="8" s="1"/>
  <c r="G145" i="8" s="1"/>
  <c r="D159" i="1" s="1"/>
  <c r="L30" i="10"/>
  <c r="M30" i="10" s="1"/>
  <c r="L20" i="10"/>
  <c r="M20" i="10" s="1"/>
  <c r="N20" i="10" s="1"/>
  <c r="O20" i="10" s="1"/>
  <c r="E73" i="8" s="1"/>
  <c r="G73" i="8" s="1"/>
  <c r="L18" i="10"/>
  <c r="M18" i="10" s="1"/>
  <c r="N18" i="10" s="1"/>
  <c r="O18" i="10" s="1"/>
  <c r="E71" i="8" s="1"/>
  <c r="G71" i="8" s="1"/>
  <c r="L80" i="10"/>
  <c r="M80" i="10" s="1"/>
  <c r="N80" i="10" s="1"/>
  <c r="O80" i="10" s="1"/>
  <c r="E324" i="8" s="1"/>
  <c r="G324" i="8" s="1"/>
  <c r="L78" i="10"/>
  <c r="M78" i="10" s="1"/>
  <c r="N78" i="10" s="1"/>
  <c r="O78" i="10" s="1"/>
  <c r="E322" i="8" s="1"/>
  <c r="G322" i="8" s="1"/>
  <c r="L75" i="10"/>
  <c r="M75" i="10" s="1"/>
  <c r="L69" i="10"/>
  <c r="M69" i="10" s="1"/>
  <c r="N69" i="10" s="1"/>
  <c r="O69" i="10" s="1"/>
  <c r="E308" i="8" s="1"/>
  <c r="G308" i="8" s="1"/>
  <c r="L62" i="10"/>
  <c r="M62" i="10" s="1"/>
  <c r="L58" i="10"/>
  <c r="M58" i="10" s="1"/>
  <c r="L56" i="10"/>
  <c r="M56" i="10" s="1"/>
  <c r="L50" i="10"/>
  <c r="M50" i="10" s="1"/>
  <c r="N50" i="10" s="1"/>
  <c r="O50" i="10" s="1"/>
  <c r="E169" i="8" s="1"/>
  <c r="G169" i="8" s="1"/>
  <c r="D183" i="1" s="1"/>
  <c r="L46" i="10"/>
  <c r="M46" i="10" s="1"/>
  <c r="L43" i="10"/>
  <c r="M43" i="10" s="1"/>
  <c r="L38" i="10"/>
  <c r="M38" i="10" s="1"/>
  <c r="N38" i="10" s="1"/>
  <c r="O38" i="10" s="1"/>
  <c r="E116" i="8" s="1"/>
  <c r="L35" i="10"/>
  <c r="M35" i="10" s="1"/>
  <c r="N35" i="10" s="1"/>
  <c r="L33" i="10"/>
  <c r="M33" i="10" s="1"/>
  <c r="N33" i="10" s="1"/>
  <c r="L31" i="10"/>
  <c r="M31" i="10" s="1"/>
  <c r="N31" i="10" s="1"/>
  <c r="L29" i="10"/>
  <c r="M29" i="10" s="1"/>
  <c r="N29" i="10" s="1"/>
  <c r="L27" i="10"/>
  <c r="M27" i="10" s="1"/>
  <c r="N27" i="10" s="1"/>
  <c r="L25" i="10"/>
  <c r="M25" i="10" s="1"/>
  <c r="N25" i="10" s="1"/>
  <c r="L23" i="10"/>
  <c r="M23" i="10" s="1"/>
  <c r="N23" i="10" s="1"/>
  <c r="L19" i="10"/>
  <c r="M19" i="10" s="1"/>
  <c r="L79" i="10"/>
  <c r="M79" i="10" s="1"/>
  <c r="L71" i="10"/>
  <c r="M71" i="10" s="1"/>
  <c r="L59" i="10"/>
  <c r="M59" i="10" s="1"/>
  <c r="L57" i="10"/>
  <c r="M57" i="10" s="1"/>
  <c r="N57" i="10" s="1"/>
  <c r="O57" i="10" s="1"/>
  <c r="E178" i="8" s="1"/>
  <c r="G178" i="8" s="1"/>
  <c r="L55" i="10"/>
  <c r="M55" i="10" s="1"/>
  <c r="L44" i="10"/>
  <c r="M44" i="10" s="1"/>
  <c r="L37" i="10"/>
  <c r="M37" i="10" s="1"/>
  <c r="L34" i="10"/>
  <c r="M34" i="10" s="1"/>
  <c r="L32" i="10"/>
  <c r="M32" i="10" s="1"/>
  <c r="L28" i="10"/>
  <c r="M28" i="10" s="1"/>
  <c r="L26" i="10"/>
  <c r="M26" i="10" s="1"/>
  <c r="L24" i="10"/>
  <c r="M24" i="10" s="1"/>
  <c r="I46" i="6"/>
  <c r="I52" i="6"/>
  <c r="I58" i="6"/>
  <c r="I64" i="6"/>
  <c r="I71" i="6"/>
  <c r="I77" i="6"/>
  <c r="I83" i="6"/>
  <c r="I89" i="6"/>
  <c r="I49" i="6"/>
  <c r="I55" i="6"/>
  <c r="I61" i="6"/>
  <c r="I67" i="6"/>
  <c r="I74" i="6"/>
  <c r="I80" i="6"/>
  <c r="I86" i="6"/>
  <c r="I92" i="6"/>
  <c r="G47" i="9"/>
  <c r="H47" i="9" s="1"/>
  <c r="G49" i="9"/>
  <c r="H49" i="9" s="1"/>
  <c r="G51" i="9"/>
  <c r="H51" i="9" s="1"/>
  <c r="G54" i="9"/>
  <c r="H54" i="9" s="1"/>
  <c r="G56" i="9"/>
  <c r="H56" i="9" s="1"/>
  <c r="G58" i="9"/>
  <c r="H58" i="9" s="1"/>
  <c r="G60" i="9"/>
  <c r="H60" i="9" s="1"/>
  <c r="G64" i="9"/>
  <c r="H64" i="9" s="1"/>
  <c r="G68" i="9"/>
  <c r="H68" i="9" s="1"/>
  <c r="G45" i="9"/>
  <c r="H45" i="9" s="1"/>
  <c r="G48" i="9"/>
  <c r="H48" i="9"/>
  <c r="G50" i="9"/>
  <c r="H50" i="9"/>
  <c r="G52" i="9"/>
  <c r="H52" i="9"/>
  <c r="G55" i="9"/>
  <c r="H55" i="9"/>
  <c r="G57" i="9"/>
  <c r="H57" i="9"/>
  <c r="G59" i="9"/>
  <c r="H59" i="9"/>
  <c r="G61" i="9"/>
  <c r="H61" i="9"/>
  <c r="G66" i="9"/>
  <c r="H66" i="9" s="1"/>
  <c r="G70" i="9"/>
  <c r="H70" i="9" s="1"/>
  <c r="H46" i="9"/>
  <c r="G63" i="9"/>
  <c r="H63" i="9" s="1"/>
  <c r="G65" i="9"/>
  <c r="H65" i="9" s="1"/>
  <c r="G67" i="9"/>
  <c r="H67" i="9" s="1"/>
  <c r="G69" i="9"/>
  <c r="H69" i="9" s="1"/>
  <c r="G27" i="9"/>
  <c r="H27" i="9" s="1"/>
  <c r="E283" i="8" s="1"/>
  <c r="G283" i="8" s="1"/>
  <c r="D297" i="1" s="1"/>
  <c r="G29" i="9"/>
  <c r="H29" i="9" s="1"/>
  <c r="E285" i="8" s="1"/>
  <c r="G285" i="8" s="1"/>
  <c r="D299" i="1" s="1"/>
  <c r="G31" i="9"/>
  <c r="H31" i="9" s="1"/>
  <c r="E287" i="8" s="1"/>
  <c r="G287" i="8" s="1"/>
  <c r="D301" i="1" s="1"/>
  <c r="G33" i="9"/>
  <c r="H33" i="9" s="1"/>
  <c r="E289" i="8" s="1"/>
  <c r="G289" i="8" s="1"/>
  <c r="D303" i="1" s="1"/>
  <c r="G35" i="9"/>
  <c r="H35" i="9" s="1"/>
  <c r="E291" i="8" s="1"/>
  <c r="G291" i="8" s="1"/>
  <c r="D305" i="1" s="1"/>
  <c r="G37" i="9"/>
  <c r="H37" i="9" s="1"/>
  <c r="E293" i="8" s="1"/>
  <c r="G293" i="8" s="1"/>
  <c r="D307" i="1" s="1"/>
  <c r="G39" i="9"/>
  <c r="H39" i="9" s="1"/>
  <c r="E295" i="8" s="1"/>
  <c r="G295" i="8" s="1"/>
  <c r="D309" i="1" s="1"/>
  <c r="G41" i="9"/>
  <c r="H41" i="9" s="1"/>
  <c r="E297" i="8" s="1"/>
  <c r="G297" i="8" s="1"/>
  <c r="D311" i="1" s="1"/>
  <c r="G26" i="9"/>
  <c r="H26" i="9" s="1"/>
  <c r="E282" i="8" s="1"/>
  <c r="G282" i="8" s="1"/>
  <c r="D296" i="1" s="1"/>
  <c r="G28" i="9"/>
  <c r="H28" i="9" s="1"/>
  <c r="E284" i="8" s="1"/>
  <c r="G284" i="8" s="1"/>
  <c r="D298" i="1" s="1"/>
  <c r="G30" i="9"/>
  <c r="H30" i="9" s="1"/>
  <c r="E286" i="8" s="1"/>
  <c r="G286" i="8" s="1"/>
  <c r="D300" i="1" s="1"/>
  <c r="G32" i="9"/>
  <c r="H32" i="9" s="1"/>
  <c r="E288" i="8" s="1"/>
  <c r="G288" i="8" s="1"/>
  <c r="D302" i="1" s="1"/>
  <c r="G36" i="9"/>
  <c r="H36" i="9" s="1"/>
  <c r="E292" i="8" s="1"/>
  <c r="G292" i="8" s="1"/>
  <c r="D306" i="1" s="1"/>
  <c r="G38" i="9"/>
  <c r="H38" i="9" s="1"/>
  <c r="E294" i="8" s="1"/>
  <c r="G294" i="8" s="1"/>
  <c r="D308" i="1" s="1"/>
  <c r="G40" i="9"/>
  <c r="H40" i="9" s="1"/>
  <c r="E296" i="8" s="1"/>
  <c r="G296" i="8" s="1"/>
  <c r="D310" i="1" s="1"/>
  <c r="G42" i="9"/>
  <c r="H42" i="9" s="1"/>
  <c r="E298" i="8" s="1"/>
  <c r="G298" i="8" s="1"/>
  <c r="D312" i="1" s="1"/>
  <c r="G17" i="9"/>
  <c r="H17" i="9" s="1"/>
  <c r="E273" i="8" s="1"/>
  <c r="G273" i="8" s="1"/>
  <c r="D287" i="1" s="1"/>
  <c r="F201" i="5"/>
  <c r="F200" i="5"/>
  <c r="F199" i="5"/>
  <c r="F198" i="5"/>
  <c r="F197" i="5"/>
  <c r="F196" i="5"/>
  <c r="F194" i="5"/>
  <c r="F193" i="5"/>
  <c r="F192" i="5"/>
  <c r="F191" i="5"/>
  <c r="K359" i="1" l="1"/>
  <c r="J359" i="1"/>
  <c r="K361" i="1"/>
  <c r="J361" i="1"/>
  <c r="K360" i="1"/>
  <c r="J360" i="1"/>
  <c r="J315" i="1"/>
  <c r="K315" i="1"/>
  <c r="J317" i="1"/>
  <c r="K317" i="1"/>
  <c r="M317" i="1" s="1"/>
  <c r="J316" i="1"/>
  <c r="K316" i="1"/>
  <c r="J318" i="1"/>
  <c r="K318" i="1"/>
  <c r="M318" i="1" s="1"/>
  <c r="J314" i="1"/>
  <c r="L314" i="1" s="1"/>
  <c r="K314" i="1"/>
  <c r="M314" i="1" s="1"/>
  <c r="K277" i="1"/>
  <c r="M277" i="1" s="1"/>
  <c r="J277" i="1"/>
  <c r="L277" i="1" s="1"/>
  <c r="K279" i="1"/>
  <c r="M279" i="1" s="1"/>
  <c r="J279" i="1"/>
  <c r="K280" i="1"/>
  <c r="M280" i="1" s="1"/>
  <c r="J280" i="1"/>
  <c r="L280" i="1" s="1"/>
  <c r="K278" i="1"/>
  <c r="M278" i="1" s="1"/>
  <c r="J278" i="1"/>
  <c r="K281" i="1"/>
  <c r="M281" i="1" s="1"/>
  <c r="J281" i="1"/>
  <c r="L281" i="1" s="1"/>
  <c r="M361" i="1"/>
  <c r="L361" i="1"/>
  <c r="M359" i="1"/>
  <c r="L359" i="1"/>
  <c r="M360" i="1"/>
  <c r="L360" i="1"/>
  <c r="G304" i="8"/>
  <c r="G302" i="8"/>
  <c r="G303" i="8"/>
  <c r="G301" i="8"/>
  <c r="D73" i="1"/>
  <c r="G83" i="8"/>
  <c r="D83" i="1" s="1"/>
  <c r="G78" i="8"/>
  <c r="D78" i="1" s="1"/>
  <c r="G221" i="8"/>
  <c r="D235" i="1" s="1"/>
  <c r="I235" i="1" s="1"/>
  <c r="D192" i="1"/>
  <c r="D71" i="1"/>
  <c r="G81" i="8"/>
  <c r="G76" i="8"/>
  <c r="I338" i="1"/>
  <c r="G340" i="8"/>
  <c r="G348" i="8"/>
  <c r="G332" i="8"/>
  <c r="I327" i="1"/>
  <c r="G313" i="8"/>
  <c r="I336" i="1"/>
  <c r="G338" i="8"/>
  <c r="I352" i="1" s="1"/>
  <c r="G346" i="8"/>
  <c r="G330" i="8"/>
  <c r="I354" i="1"/>
  <c r="G185" i="8"/>
  <c r="G213" i="8"/>
  <c r="G206" i="8"/>
  <c r="G199" i="8"/>
  <c r="G192" i="8"/>
  <c r="L317" i="1"/>
  <c r="N87" i="10"/>
  <c r="O87" i="10" s="1"/>
  <c r="N85" i="10"/>
  <c r="O85" i="10" s="1"/>
  <c r="N88" i="10"/>
  <c r="O88" i="10" s="1"/>
  <c r="I346" i="1" s="1"/>
  <c r="N86" i="10"/>
  <c r="O86" i="10" s="1"/>
  <c r="I344" i="1" s="1"/>
  <c r="N83" i="10"/>
  <c r="O83" i="10" s="1"/>
  <c r="L318" i="1"/>
  <c r="L316" i="1"/>
  <c r="M316" i="1"/>
  <c r="L315" i="1"/>
  <c r="M315" i="1"/>
  <c r="J67" i="9"/>
  <c r="E141" i="8"/>
  <c r="G141" i="8" s="1"/>
  <c r="D155" i="1" s="1"/>
  <c r="J63" i="9"/>
  <c r="E137" i="8"/>
  <c r="G137" i="8" s="1"/>
  <c r="D151" i="1" s="1"/>
  <c r="J70" i="9"/>
  <c r="E144" i="8"/>
  <c r="G144" i="8" s="1"/>
  <c r="D158" i="1" s="1"/>
  <c r="J61" i="9"/>
  <c r="E135" i="8"/>
  <c r="G135" i="8" s="1"/>
  <c r="D149" i="1" s="1"/>
  <c r="J59" i="9"/>
  <c r="E133" i="8"/>
  <c r="G133" i="8" s="1"/>
  <c r="D147" i="1" s="1"/>
  <c r="J57" i="9"/>
  <c r="E131" i="8"/>
  <c r="G131" i="8" s="1"/>
  <c r="D145" i="1" s="1"/>
  <c r="J55" i="9"/>
  <c r="E129" i="8"/>
  <c r="G129" i="8" s="1"/>
  <c r="D143" i="1" s="1"/>
  <c r="J52" i="9"/>
  <c r="E126" i="8"/>
  <c r="G126" i="8" s="1"/>
  <c r="D140" i="1" s="1"/>
  <c r="J50" i="9"/>
  <c r="E124" i="8"/>
  <c r="G124" i="8" s="1"/>
  <c r="D138" i="1" s="1"/>
  <c r="J48" i="9"/>
  <c r="E122" i="8"/>
  <c r="G122" i="8" s="1"/>
  <c r="D136" i="1" s="1"/>
  <c r="J45" i="9"/>
  <c r="E119" i="8"/>
  <c r="G119" i="8" s="1"/>
  <c r="D133" i="1" s="1"/>
  <c r="J64" i="9"/>
  <c r="E138" i="8"/>
  <c r="G138" i="8" s="1"/>
  <c r="D152" i="1" s="1"/>
  <c r="J58" i="9"/>
  <c r="E132" i="8"/>
  <c r="G132" i="8" s="1"/>
  <c r="D146" i="1" s="1"/>
  <c r="J54" i="9"/>
  <c r="E128" i="8"/>
  <c r="G128" i="8" s="1"/>
  <c r="D142" i="1" s="1"/>
  <c r="J49" i="9"/>
  <c r="E123" i="8"/>
  <c r="G123" i="8" s="1"/>
  <c r="D137" i="1" s="1"/>
  <c r="I183" i="3"/>
  <c r="I41" i="3"/>
  <c r="I348" i="3"/>
  <c r="I69" i="3"/>
  <c r="I179" i="3"/>
  <c r="I37" i="3"/>
  <c r="I344" i="3"/>
  <c r="I65" i="3"/>
  <c r="I339" i="3"/>
  <c r="I60" i="3"/>
  <c r="I174" i="3"/>
  <c r="I32" i="3"/>
  <c r="I335" i="3"/>
  <c r="I56" i="3"/>
  <c r="I170" i="3"/>
  <c r="I28" i="3"/>
  <c r="I347" i="3"/>
  <c r="I68" i="3"/>
  <c r="I182" i="3"/>
  <c r="I40" i="3"/>
  <c r="I343" i="3"/>
  <c r="I64" i="3"/>
  <c r="I178" i="3"/>
  <c r="I36" i="3"/>
  <c r="I173" i="3"/>
  <c r="I31" i="3"/>
  <c r="I338" i="3"/>
  <c r="I59" i="3"/>
  <c r="I169" i="3"/>
  <c r="I27" i="3"/>
  <c r="I334" i="3"/>
  <c r="I55" i="3"/>
  <c r="L279" i="1"/>
  <c r="J69" i="9"/>
  <c r="E143" i="8"/>
  <c r="G143" i="8" s="1"/>
  <c r="D157" i="1" s="1"/>
  <c r="J65" i="9"/>
  <c r="E139" i="8"/>
  <c r="G139" i="8" s="1"/>
  <c r="D153" i="1" s="1"/>
  <c r="J46" i="9"/>
  <c r="E120" i="8"/>
  <c r="G120" i="8" s="1"/>
  <c r="D134" i="1" s="1"/>
  <c r="J66" i="9"/>
  <c r="E140" i="8"/>
  <c r="G140" i="8" s="1"/>
  <c r="D154" i="1" s="1"/>
  <c r="J68" i="9"/>
  <c r="E142" i="8"/>
  <c r="G142" i="8" s="1"/>
  <c r="D156" i="1" s="1"/>
  <c r="J60" i="9"/>
  <c r="E134" i="8"/>
  <c r="G134" i="8" s="1"/>
  <c r="D148" i="1" s="1"/>
  <c r="J56" i="9"/>
  <c r="E130" i="8"/>
  <c r="G130" i="8" s="1"/>
  <c r="D144" i="1" s="1"/>
  <c r="J51" i="9"/>
  <c r="E125" i="8"/>
  <c r="G125" i="8" s="1"/>
  <c r="D139" i="1" s="1"/>
  <c r="J47" i="9"/>
  <c r="E121" i="8"/>
  <c r="G121" i="8" s="1"/>
  <c r="D135" i="1" s="1"/>
  <c r="I181" i="3"/>
  <c r="I39" i="3"/>
  <c r="I346" i="3"/>
  <c r="I67" i="3"/>
  <c r="I177" i="3"/>
  <c r="I35" i="3"/>
  <c r="I342" i="3"/>
  <c r="I63" i="3"/>
  <c r="I337" i="3"/>
  <c r="I58" i="3"/>
  <c r="I172" i="3"/>
  <c r="I30" i="3"/>
  <c r="E27" i="1" s="1"/>
  <c r="I333" i="3"/>
  <c r="I54" i="3"/>
  <c r="I168" i="3"/>
  <c r="I26" i="3"/>
  <c r="E23" i="1" s="1"/>
  <c r="I345" i="3"/>
  <c r="I66" i="3"/>
  <c r="E63" i="1" s="1"/>
  <c r="I180" i="3"/>
  <c r="I38" i="3"/>
  <c r="E35" i="1" s="1"/>
  <c r="I171" i="3"/>
  <c r="I29" i="3"/>
  <c r="E26" i="1" s="1"/>
  <c r="I336" i="3"/>
  <c r="I57" i="3"/>
  <c r="E54" i="1" s="1"/>
  <c r="L278" i="1"/>
  <c r="G116" i="8"/>
  <c r="D130" i="1" s="1"/>
  <c r="E171" i="8"/>
  <c r="G171" i="8" s="1"/>
  <c r="E170" i="8"/>
  <c r="G170" i="8" s="1"/>
  <c r="J40" i="9"/>
  <c r="E64" i="8"/>
  <c r="G64" i="8" s="1"/>
  <c r="D64" i="1" s="1"/>
  <c r="E36" i="8"/>
  <c r="G36" i="8" s="1"/>
  <c r="D36" i="1" s="1"/>
  <c r="J36" i="9"/>
  <c r="E60" i="8"/>
  <c r="G60" i="8" s="1"/>
  <c r="D60" i="1" s="1"/>
  <c r="E32" i="8"/>
  <c r="G32" i="8" s="1"/>
  <c r="D32" i="1" s="1"/>
  <c r="J26" i="9"/>
  <c r="E22" i="8"/>
  <c r="G22" i="8" s="1"/>
  <c r="D22" i="1" s="1"/>
  <c r="E50" i="8"/>
  <c r="G50" i="8" s="1"/>
  <c r="D50" i="1" s="1"/>
  <c r="J42" i="9"/>
  <c r="E66" i="8"/>
  <c r="G66" i="8" s="1"/>
  <c r="D66" i="1" s="1"/>
  <c r="E38" i="8"/>
  <c r="G38" i="8" s="1"/>
  <c r="D38" i="1" s="1"/>
  <c r="J38" i="9"/>
  <c r="E62" i="8"/>
  <c r="G62" i="8" s="1"/>
  <c r="D62" i="1" s="1"/>
  <c r="E34" i="8"/>
  <c r="G34" i="8" s="1"/>
  <c r="D34" i="1" s="1"/>
  <c r="J32" i="9"/>
  <c r="E28" i="8"/>
  <c r="G28" i="8" s="1"/>
  <c r="D28" i="1" s="1"/>
  <c r="E56" i="8"/>
  <c r="G56" i="8" s="1"/>
  <c r="D56" i="1" s="1"/>
  <c r="J28" i="9"/>
  <c r="E24" i="8"/>
  <c r="G24" i="8" s="1"/>
  <c r="D24" i="1" s="1"/>
  <c r="E52" i="8"/>
  <c r="G52" i="8" s="1"/>
  <c r="D52" i="1" s="1"/>
  <c r="J41" i="9"/>
  <c r="E37" i="8"/>
  <c r="G37" i="8" s="1"/>
  <c r="D37" i="1" s="1"/>
  <c r="E65" i="8"/>
  <c r="G65" i="8" s="1"/>
  <c r="D65" i="1" s="1"/>
  <c r="J37" i="9"/>
  <c r="E33" i="8"/>
  <c r="G33" i="8" s="1"/>
  <c r="D33" i="1" s="1"/>
  <c r="E61" i="8"/>
  <c r="G61" i="8" s="1"/>
  <c r="D61" i="1" s="1"/>
  <c r="J33" i="9"/>
  <c r="E57" i="8"/>
  <c r="G57" i="8" s="1"/>
  <c r="D57" i="1" s="1"/>
  <c r="E29" i="8"/>
  <c r="G29" i="8" s="1"/>
  <c r="D29" i="1" s="1"/>
  <c r="J29" i="9"/>
  <c r="E53" i="8"/>
  <c r="G53" i="8" s="1"/>
  <c r="D53" i="1" s="1"/>
  <c r="E25" i="8"/>
  <c r="G25" i="8" s="1"/>
  <c r="D25" i="1" s="1"/>
  <c r="J17" i="9"/>
  <c r="E41" i="8"/>
  <c r="G41" i="8" s="1"/>
  <c r="D41" i="1" s="1"/>
  <c r="E13" i="8"/>
  <c r="G13" i="8" s="1"/>
  <c r="D13" i="1" s="1"/>
  <c r="J30" i="9"/>
  <c r="E26" i="8"/>
  <c r="G26" i="8" s="1"/>
  <c r="D26" i="1" s="1"/>
  <c r="E54" i="8"/>
  <c r="G54" i="8" s="1"/>
  <c r="D54" i="1" s="1"/>
  <c r="J39" i="9"/>
  <c r="E35" i="8"/>
  <c r="G35" i="8" s="1"/>
  <c r="D35" i="1" s="1"/>
  <c r="E63" i="8"/>
  <c r="G63" i="8" s="1"/>
  <c r="D63" i="1" s="1"/>
  <c r="J35" i="9"/>
  <c r="E31" i="8"/>
  <c r="G31" i="8" s="1"/>
  <c r="D31" i="1" s="1"/>
  <c r="E59" i="8"/>
  <c r="G59" i="8" s="1"/>
  <c r="D59" i="1" s="1"/>
  <c r="J31" i="9"/>
  <c r="E55" i="8"/>
  <c r="G55" i="8" s="1"/>
  <c r="D55" i="1" s="1"/>
  <c r="E27" i="8"/>
  <c r="G27" i="8" s="1"/>
  <c r="D27" i="1" s="1"/>
  <c r="J27" i="9"/>
  <c r="E51" i="8"/>
  <c r="G51" i="8" s="1"/>
  <c r="D51" i="1" s="1"/>
  <c r="E23" i="8"/>
  <c r="G23" i="8" s="1"/>
  <c r="D23" i="1" s="1"/>
  <c r="N26" i="10"/>
  <c r="N32" i="10"/>
  <c r="N37" i="10"/>
  <c r="O37" i="10" s="1"/>
  <c r="E115" i="8" s="1"/>
  <c r="G115" i="8" s="1"/>
  <c r="D129" i="1" s="1"/>
  <c r="N55" i="10"/>
  <c r="O55" i="10" s="1"/>
  <c r="E176" i="8" s="1"/>
  <c r="G176" i="8" s="1"/>
  <c r="N59" i="10"/>
  <c r="O59" i="10" s="1"/>
  <c r="E180" i="8" s="1"/>
  <c r="G180" i="8" s="1"/>
  <c r="N79" i="10"/>
  <c r="O79" i="10" s="1"/>
  <c r="E323" i="8" s="1"/>
  <c r="G323" i="8" s="1"/>
  <c r="O23" i="10"/>
  <c r="E87" i="8" s="1"/>
  <c r="G87" i="8" s="1"/>
  <c r="D87" i="1" s="1"/>
  <c r="O27" i="10"/>
  <c r="E91" i="8" s="1"/>
  <c r="G91" i="8" s="1"/>
  <c r="D91" i="1" s="1"/>
  <c r="O31" i="10"/>
  <c r="E95" i="8" s="1"/>
  <c r="G95" i="8" s="1"/>
  <c r="D95" i="1" s="1"/>
  <c r="O35" i="10"/>
  <c r="E99" i="8" s="1"/>
  <c r="G99" i="8" s="1"/>
  <c r="D99" i="1" s="1"/>
  <c r="N43" i="10"/>
  <c r="O43" i="10" s="1"/>
  <c r="E149" i="8" s="1"/>
  <c r="G149" i="8" s="1"/>
  <c r="D163" i="1" s="1"/>
  <c r="N58" i="10"/>
  <c r="O58" i="10" s="1"/>
  <c r="E179" i="8" s="1"/>
  <c r="G179" i="8" s="1"/>
  <c r="N30" i="10"/>
  <c r="N49" i="10"/>
  <c r="O49" i="10" s="1"/>
  <c r="E168" i="8" s="1"/>
  <c r="G168" i="8" s="1"/>
  <c r="D182" i="1" s="1"/>
  <c r="N77" i="10"/>
  <c r="O77" i="10" s="1"/>
  <c r="E321" i="8" s="1"/>
  <c r="G321" i="8" s="1"/>
  <c r="N24" i="10"/>
  <c r="N28" i="10"/>
  <c r="N34" i="10"/>
  <c r="N44" i="10"/>
  <c r="O44" i="10" s="1"/>
  <c r="E150" i="8" s="1"/>
  <c r="N71" i="10"/>
  <c r="O71" i="10" s="1"/>
  <c r="E310" i="8" s="1"/>
  <c r="G310" i="8" s="1"/>
  <c r="N19" i="10"/>
  <c r="O19" i="10" s="1"/>
  <c r="E72" i="8" s="1"/>
  <c r="G72" i="8" s="1"/>
  <c r="O25" i="10"/>
  <c r="E89" i="8" s="1"/>
  <c r="G89" i="8" s="1"/>
  <c r="D89" i="1" s="1"/>
  <c r="O29" i="10"/>
  <c r="E93" i="8" s="1"/>
  <c r="G93" i="8" s="1"/>
  <c r="D93" i="1" s="1"/>
  <c r="O33" i="10"/>
  <c r="E97" i="8" s="1"/>
  <c r="G97" i="8" s="1"/>
  <c r="D97" i="1" s="1"/>
  <c r="N46" i="10"/>
  <c r="O46" i="10" s="1"/>
  <c r="E159" i="8" s="1"/>
  <c r="G159" i="8" s="1"/>
  <c r="D173" i="1" s="1"/>
  <c r="N56" i="10"/>
  <c r="O56" i="10" s="1"/>
  <c r="E177" i="8" s="1"/>
  <c r="G177" i="8" s="1"/>
  <c r="D191" i="1" s="1"/>
  <c r="N62" i="10"/>
  <c r="O62" i="10" s="1"/>
  <c r="E261" i="8" s="1"/>
  <c r="G261" i="8" s="1"/>
  <c r="D275" i="1" s="1"/>
  <c r="N75" i="10"/>
  <c r="O75" i="10" s="1"/>
  <c r="E319" i="8" s="1"/>
  <c r="G319" i="8" s="1"/>
  <c r="N67" i="10"/>
  <c r="O67" i="10" s="1"/>
  <c r="E305" i="8" s="1"/>
  <c r="G305" i="8" s="1"/>
  <c r="I319" i="1" s="1"/>
  <c r="F190" i="5"/>
  <c r="F195" i="5"/>
  <c r="I183" i="1" s="1"/>
  <c r="E38" i="1"/>
  <c r="E312" i="1"/>
  <c r="I312" i="1" s="1"/>
  <c r="E158" i="1"/>
  <c r="E66" i="1"/>
  <c r="E34" i="1"/>
  <c r="E308" i="1"/>
  <c r="I308" i="1" s="1"/>
  <c r="E154" i="1"/>
  <c r="E62" i="1"/>
  <c r="E303" i="1"/>
  <c r="I303" i="1" s="1"/>
  <c r="E149" i="1"/>
  <c r="E57" i="1"/>
  <c r="E29" i="1"/>
  <c r="E25" i="1"/>
  <c r="E299" i="1"/>
  <c r="I299" i="1" s="1"/>
  <c r="E145" i="1"/>
  <c r="E53" i="1"/>
  <c r="E37" i="1"/>
  <c r="E311" i="1"/>
  <c r="I311" i="1" s="1"/>
  <c r="E157" i="1"/>
  <c r="E65" i="1"/>
  <c r="E33" i="1"/>
  <c r="E307" i="1"/>
  <c r="I307" i="1" s="1"/>
  <c r="E153" i="1"/>
  <c r="E61" i="1"/>
  <c r="E28" i="1"/>
  <c r="E302" i="1"/>
  <c r="I302" i="1" s="1"/>
  <c r="E148" i="1"/>
  <c r="E56" i="1"/>
  <c r="E24" i="1"/>
  <c r="E298" i="1"/>
  <c r="I298" i="1" s="1"/>
  <c r="E144" i="1"/>
  <c r="E52" i="1"/>
  <c r="E36" i="1"/>
  <c r="E310" i="1"/>
  <c r="I310" i="1" s="1"/>
  <c r="E156" i="1"/>
  <c r="E64" i="1"/>
  <c r="E32" i="1"/>
  <c r="E306" i="1"/>
  <c r="I306" i="1" s="1"/>
  <c r="E152" i="1"/>
  <c r="E60" i="1"/>
  <c r="E301" i="1"/>
  <c r="I301" i="1" s="1"/>
  <c r="E147" i="1"/>
  <c r="I147" i="1" s="1"/>
  <c r="E55" i="1"/>
  <c r="E297" i="1"/>
  <c r="I297" i="1" s="1"/>
  <c r="E143" i="1"/>
  <c r="E51" i="1"/>
  <c r="E309" i="1"/>
  <c r="I309" i="1" s="1"/>
  <c r="E155" i="1"/>
  <c r="I155" i="1" s="1"/>
  <c r="I341" i="3"/>
  <c r="E305" i="1" s="1"/>
  <c r="I305" i="1" s="1"/>
  <c r="I176" i="3"/>
  <c r="I62" i="3"/>
  <c r="E59" i="1" s="1"/>
  <c r="E300" i="1"/>
  <c r="I300" i="1" s="1"/>
  <c r="E146" i="1"/>
  <c r="I332" i="3"/>
  <c r="E296" i="1" s="1"/>
  <c r="I296" i="1" s="1"/>
  <c r="I167" i="3"/>
  <c r="I53" i="3"/>
  <c r="E50" i="1" s="1"/>
  <c r="I34" i="3"/>
  <c r="E31" i="1" s="1"/>
  <c r="I70" i="6"/>
  <c r="I45" i="6"/>
  <c r="I25" i="3"/>
  <c r="E22" i="1" s="1"/>
  <c r="G10" i="8"/>
  <c r="D10" i="1" s="1"/>
  <c r="F187" i="5"/>
  <c r="F186" i="5"/>
  <c r="F185" i="5"/>
  <c r="F184" i="5"/>
  <c r="F183" i="5"/>
  <c r="F182" i="5"/>
  <c r="F179" i="5"/>
  <c r="F178" i="5"/>
  <c r="F177" i="5"/>
  <c r="F176" i="5"/>
  <c r="F175" i="5"/>
  <c r="F174" i="5"/>
  <c r="F173" i="5"/>
  <c r="F171" i="5"/>
  <c r="F170" i="5"/>
  <c r="F169" i="5"/>
  <c r="F168" i="5"/>
  <c r="F167" i="5"/>
  <c r="F166" i="5"/>
  <c r="F165" i="5"/>
  <c r="F161" i="5"/>
  <c r="F160" i="5"/>
  <c r="F159" i="5"/>
  <c r="F158" i="5"/>
  <c r="F155" i="5"/>
  <c r="F154" i="5"/>
  <c r="F153" i="5"/>
  <c r="F152" i="5"/>
  <c r="F151" i="5"/>
  <c r="F150" i="5"/>
  <c r="F149" i="5"/>
  <c r="F147" i="5"/>
  <c r="F146" i="5"/>
  <c r="F145" i="5"/>
  <c r="F144" i="5"/>
  <c r="F143" i="5"/>
  <c r="F142" i="5"/>
  <c r="F139" i="5"/>
  <c r="F138" i="5"/>
  <c r="F137" i="5"/>
  <c r="F136" i="5"/>
  <c r="F135" i="5"/>
  <c r="F134" i="5"/>
  <c r="F133" i="5"/>
  <c r="F131" i="5"/>
  <c r="F130" i="5"/>
  <c r="F129" i="5"/>
  <c r="F128" i="5"/>
  <c r="F126" i="5"/>
  <c r="F125" i="5"/>
  <c r="F124" i="5"/>
  <c r="F123" i="5"/>
  <c r="F122" i="5"/>
  <c r="F120" i="5"/>
  <c r="F119" i="5"/>
  <c r="F118" i="5"/>
  <c r="F117" i="5"/>
  <c r="F116" i="5"/>
  <c r="F115" i="5"/>
  <c r="F114" i="5"/>
  <c r="F113" i="5"/>
  <c r="F112" i="5"/>
  <c r="F110" i="5"/>
  <c r="F109" i="5"/>
  <c r="F108" i="5"/>
  <c r="F107" i="5"/>
  <c r="F106" i="5"/>
  <c r="F104" i="5"/>
  <c r="F103" i="5"/>
  <c r="F102" i="5"/>
  <c r="F101" i="5"/>
  <c r="F100" i="5"/>
  <c r="F99" i="5"/>
  <c r="F98" i="5"/>
  <c r="F96" i="5"/>
  <c r="F95" i="5"/>
  <c r="F94" i="5"/>
  <c r="F93" i="5"/>
  <c r="F92" i="5"/>
  <c r="F90" i="5"/>
  <c r="F89" i="5"/>
  <c r="F88" i="5"/>
  <c r="F87" i="5"/>
  <c r="F86" i="5"/>
  <c r="F85" i="5"/>
  <c r="F84" i="5"/>
  <c r="F82" i="5"/>
  <c r="F81" i="5"/>
  <c r="F80" i="5"/>
  <c r="F79" i="5"/>
  <c r="F78" i="5"/>
  <c r="F77" i="5"/>
  <c r="F76" i="5"/>
  <c r="F74" i="5"/>
  <c r="F73" i="5"/>
  <c r="F72" i="5"/>
  <c r="F71" i="5"/>
  <c r="F70" i="5"/>
  <c r="F69" i="5"/>
  <c r="F68" i="5"/>
  <c r="F66" i="5"/>
  <c r="F65" i="5"/>
  <c r="F64" i="5"/>
  <c r="F63" i="5"/>
  <c r="F62" i="5"/>
  <c r="F60" i="5"/>
  <c r="F59" i="5"/>
  <c r="F58" i="5"/>
  <c r="F57" i="5"/>
  <c r="F56" i="5"/>
  <c r="F54" i="5"/>
  <c r="F53" i="5"/>
  <c r="F52" i="5"/>
  <c r="F51" i="5"/>
  <c r="F50" i="5"/>
  <c r="F49" i="5"/>
  <c r="F48" i="5"/>
  <c r="F44" i="5"/>
  <c r="F43" i="5"/>
  <c r="F42" i="5"/>
  <c r="F41" i="5"/>
  <c r="F40" i="5"/>
  <c r="F38" i="5"/>
  <c r="F37" i="5"/>
  <c r="F36" i="5"/>
  <c r="F35" i="5"/>
  <c r="F34" i="5"/>
  <c r="F33" i="5"/>
  <c r="F32" i="5"/>
  <c r="F30" i="5"/>
  <c r="F29" i="5"/>
  <c r="F28" i="5"/>
  <c r="F27" i="5"/>
  <c r="F26" i="5"/>
  <c r="F25" i="5"/>
  <c r="F24" i="5"/>
  <c r="F23" i="5"/>
  <c r="I74" i="3"/>
  <c r="E71" i="1" s="1"/>
  <c r="H43" i="6"/>
  <c r="I43" i="6" s="1"/>
  <c r="I44" i="6" s="1"/>
  <c r="H37" i="6"/>
  <c r="I37" i="6" s="1"/>
  <c r="I38" i="6" s="1"/>
  <c r="H31" i="6"/>
  <c r="I31" i="6" s="1"/>
  <c r="I32" i="6" s="1"/>
  <c r="H25" i="6"/>
  <c r="I25" i="6" s="1"/>
  <c r="I26" i="6" s="1"/>
  <c r="H40" i="6"/>
  <c r="I40" i="6" s="1"/>
  <c r="I41" i="6" s="1"/>
  <c r="H34" i="6"/>
  <c r="I34" i="6" s="1"/>
  <c r="I35" i="6" s="1"/>
  <c r="H28" i="6"/>
  <c r="I28" i="6" s="1"/>
  <c r="I29" i="6" s="1"/>
  <c r="H22" i="6"/>
  <c r="I22" i="6" s="1"/>
  <c r="I23" i="6" s="1"/>
  <c r="H13" i="3"/>
  <c r="I13" i="3" s="1"/>
  <c r="H12" i="3"/>
  <c r="G11" i="4"/>
  <c r="H11" i="4" s="1"/>
  <c r="H10" i="4" s="1"/>
  <c r="F11" i="2"/>
  <c r="F10" i="2" s="1"/>
  <c r="F13" i="5"/>
  <c r="F14" i="5"/>
  <c r="F15" i="5"/>
  <c r="F16" i="5"/>
  <c r="F12" i="5"/>
  <c r="K354" i="1" l="1"/>
  <c r="M354" i="1" s="1"/>
  <c r="J354" i="1"/>
  <c r="K352" i="1"/>
  <c r="J352" i="1"/>
  <c r="J346" i="1"/>
  <c r="K346" i="1"/>
  <c r="J344" i="1"/>
  <c r="K344" i="1"/>
  <c r="K338" i="1"/>
  <c r="M338" i="1" s="1"/>
  <c r="J338" i="1"/>
  <c r="L338" i="1" s="1"/>
  <c r="K336" i="1"/>
  <c r="M336" i="1" s="1"/>
  <c r="J336" i="1"/>
  <c r="L336" i="1" s="1"/>
  <c r="K327" i="1"/>
  <c r="M327" i="1" s="1"/>
  <c r="J327" i="1"/>
  <c r="J319" i="1"/>
  <c r="L319" i="1" s="1"/>
  <c r="K319" i="1"/>
  <c r="K306" i="1"/>
  <c r="M306" i="1" s="1"/>
  <c r="J306" i="1"/>
  <c r="K310" i="1"/>
  <c r="M310" i="1" s="1"/>
  <c r="J310" i="1"/>
  <c r="K307" i="1"/>
  <c r="J307" i="1"/>
  <c r="K311" i="1"/>
  <c r="M311" i="1" s="1"/>
  <c r="J311" i="1"/>
  <c r="K308" i="1"/>
  <c r="M308" i="1" s="1"/>
  <c r="J308" i="1"/>
  <c r="K312" i="1"/>
  <c r="M312" i="1" s="1"/>
  <c r="J312" i="1"/>
  <c r="K305" i="1"/>
  <c r="J305" i="1"/>
  <c r="K309" i="1"/>
  <c r="M309" i="1" s="1"/>
  <c r="J309" i="1"/>
  <c r="K296" i="1"/>
  <c r="M296" i="1" s="1"/>
  <c r="J296" i="1"/>
  <c r="K300" i="1"/>
  <c r="J300" i="1"/>
  <c r="K297" i="1"/>
  <c r="M297" i="1" s="1"/>
  <c r="J297" i="1"/>
  <c r="K298" i="1"/>
  <c r="M298" i="1" s="1"/>
  <c r="J298" i="1"/>
  <c r="K302" i="1"/>
  <c r="J302" i="1"/>
  <c r="K299" i="1"/>
  <c r="J299" i="1"/>
  <c r="K301" i="1"/>
  <c r="M301" i="1" s="1"/>
  <c r="J301" i="1"/>
  <c r="K303" i="1"/>
  <c r="M303" i="1" s="1"/>
  <c r="J303" i="1"/>
  <c r="K235" i="1"/>
  <c r="J235" i="1"/>
  <c r="K183" i="1"/>
  <c r="M183" i="1" s="1"/>
  <c r="J183" i="1"/>
  <c r="K155" i="1"/>
  <c r="M155" i="1" s="1"/>
  <c r="J155" i="1"/>
  <c r="K147" i="1"/>
  <c r="M147" i="1" s="1"/>
  <c r="J147" i="1"/>
  <c r="I322" i="1"/>
  <c r="D72" i="1"/>
  <c r="G82" i="8"/>
  <c r="D82" i="1" s="1"/>
  <c r="G77" i="8"/>
  <c r="D77" i="1" s="1"/>
  <c r="D184" i="1"/>
  <c r="I184" i="1" s="1"/>
  <c r="I143" i="1"/>
  <c r="I152" i="1"/>
  <c r="I156" i="1"/>
  <c r="I144" i="1"/>
  <c r="I148" i="1"/>
  <c r="I153" i="1"/>
  <c r="I157" i="1"/>
  <c r="I145" i="1"/>
  <c r="I154" i="1"/>
  <c r="I158" i="1"/>
  <c r="G222" i="8"/>
  <c r="D236" i="1" s="1"/>
  <c r="I236" i="1" s="1"/>
  <c r="D193" i="1"/>
  <c r="G219" i="8"/>
  <c r="D233" i="1" s="1"/>
  <c r="I233" i="1" s="1"/>
  <c r="D190" i="1"/>
  <c r="D185" i="1"/>
  <c r="I185" i="1" s="1"/>
  <c r="G242" i="8"/>
  <c r="D256" i="1" s="1"/>
  <c r="I256" i="1" s="1"/>
  <c r="D213" i="1"/>
  <c r="I213" i="1" s="1"/>
  <c r="G256" i="8"/>
  <c r="D270" i="1" s="1"/>
  <c r="I270" i="1" s="1"/>
  <c r="D227" i="1"/>
  <c r="I227" i="1" s="1"/>
  <c r="D76" i="1"/>
  <c r="G74" i="8"/>
  <c r="G69" i="8"/>
  <c r="I275" i="1"/>
  <c r="G223" i="8"/>
  <c r="D237" i="1" s="1"/>
  <c r="I237" i="1" s="1"/>
  <c r="D194" i="1"/>
  <c r="G235" i="8"/>
  <c r="D249" i="1" s="1"/>
  <c r="I249" i="1" s="1"/>
  <c r="D206" i="1"/>
  <c r="I206" i="1" s="1"/>
  <c r="G249" i="8"/>
  <c r="D263" i="1" s="1"/>
  <c r="I263" i="1" s="1"/>
  <c r="D220" i="1"/>
  <c r="I220" i="1" s="1"/>
  <c r="G228" i="8"/>
  <c r="D242" i="1" s="1"/>
  <c r="I242" i="1" s="1"/>
  <c r="D199" i="1"/>
  <c r="D81" i="1"/>
  <c r="G79" i="8"/>
  <c r="M235" i="1"/>
  <c r="L235" i="1"/>
  <c r="L354" i="1"/>
  <c r="M352" i="1"/>
  <c r="L352" i="1"/>
  <c r="I335" i="1"/>
  <c r="G345" i="8"/>
  <c r="G329" i="8"/>
  <c r="G337" i="8"/>
  <c r="I351" i="1" s="1"/>
  <c r="I333" i="1"/>
  <c r="G335" i="8"/>
  <c r="I349" i="1" s="1"/>
  <c r="G343" i="8"/>
  <c r="G327" i="8"/>
  <c r="I341" i="1" s="1"/>
  <c r="G315" i="8"/>
  <c r="I337" i="1"/>
  <c r="G347" i="8"/>
  <c r="G331" i="8"/>
  <c r="I345" i="1" s="1"/>
  <c r="G339" i="8"/>
  <c r="I353" i="1" s="1"/>
  <c r="I343" i="1"/>
  <c r="G184" i="8"/>
  <c r="G220" i="8"/>
  <c r="D234" i="1" s="1"/>
  <c r="I234" i="1" s="1"/>
  <c r="G208" i="8"/>
  <c r="G194" i="8"/>
  <c r="G187" i="8"/>
  <c r="G215" i="8"/>
  <c r="G201" i="8"/>
  <c r="G214" i="8"/>
  <c r="G200" i="8"/>
  <c r="G207" i="8"/>
  <c r="G193" i="8"/>
  <c r="G186" i="8"/>
  <c r="G211" i="8"/>
  <c r="G197" i="8"/>
  <c r="G204" i="8"/>
  <c r="G190" i="8"/>
  <c r="G183" i="8"/>
  <c r="I192" i="1"/>
  <c r="I199" i="1"/>
  <c r="G212" i="8"/>
  <c r="G205" i="8"/>
  <c r="G198" i="8"/>
  <c r="G191" i="8"/>
  <c r="I194" i="1"/>
  <c r="G158" i="8"/>
  <c r="G162" i="8"/>
  <c r="G165" i="8"/>
  <c r="G155" i="8"/>
  <c r="D169" i="1" s="1"/>
  <c r="G152" i="8"/>
  <c r="D166" i="1" s="1"/>
  <c r="D125" i="1"/>
  <c r="G111" i="8"/>
  <c r="D111" i="1" s="1"/>
  <c r="D117" i="1"/>
  <c r="G103" i="8"/>
  <c r="D103" i="1" s="1"/>
  <c r="D127" i="1"/>
  <c r="G113" i="8"/>
  <c r="D113" i="1" s="1"/>
  <c r="D119" i="1"/>
  <c r="G105" i="8"/>
  <c r="D105" i="1" s="1"/>
  <c r="D121" i="1"/>
  <c r="G107" i="8"/>
  <c r="D107" i="1" s="1"/>
  <c r="D123" i="1"/>
  <c r="G109" i="8"/>
  <c r="D109" i="1" s="1"/>
  <c r="D115" i="1"/>
  <c r="G101" i="8"/>
  <c r="D101" i="1" s="1"/>
  <c r="M344" i="1"/>
  <c r="L344" i="1"/>
  <c r="M346" i="1"/>
  <c r="L346" i="1"/>
  <c r="I146" i="1"/>
  <c r="I149" i="1"/>
  <c r="L183" i="1"/>
  <c r="I182" i="1"/>
  <c r="E151" i="1"/>
  <c r="I151" i="1" s="1"/>
  <c r="I175" i="3"/>
  <c r="E142" i="1"/>
  <c r="I142" i="1" s="1"/>
  <c r="I166" i="3"/>
  <c r="M319" i="1"/>
  <c r="L327" i="1"/>
  <c r="I329" i="1"/>
  <c r="I324" i="1"/>
  <c r="M305" i="1"/>
  <c r="L306" i="1"/>
  <c r="L310" i="1"/>
  <c r="M307" i="1"/>
  <c r="L308" i="1"/>
  <c r="L312" i="1"/>
  <c r="M300" i="1"/>
  <c r="L303" i="1"/>
  <c r="L297" i="1"/>
  <c r="L301" i="1"/>
  <c r="L298" i="1"/>
  <c r="M302" i="1"/>
  <c r="L299" i="1"/>
  <c r="M299" i="1"/>
  <c r="I90" i="3"/>
  <c r="L300" i="1"/>
  <c r="L305" i="1"/>
  <c r="L155" i="1"/>
  <c r="L147" i="1"/>
  <c r="I23" i="1"/>
  <c r="I55" i="1"/>
  <c r="I59" i="1"/>
  <c r="I35" i="1"/>
  <c r="I54" i="1"/>
  <c r="I25" i="1"/>
  <c r="I57" i="1"/>
  <c r="I61" i="1"/>
  <c r="I37" i="1"/>
  <c r="I52" i="1"/>
  <c r="I28" i="1"/>
  <c r="I34" i="1"/>
  <c r="I66" i="1"/>
  <c r="I50" i="1"/>
  <c r="I60" i="1"/>
  <c r="I36" i="1"/>
  <c r="L296" i="1"/>
  <c r="L309" i="1"/>
  <c r="L302" i="1"/>
  <c r="L307" i="1"/>
  <c r="L311" i="1"/>
  <c r="I51" i="1"/>
  <c r="I27" i="1"/>
  <c r="I31" i="1"/>
  <c r="I63" i="1"/>
  <c r="I26" i="1"/>
  <c r="I53" i="1"/>
  <c r="I29" i="1"/>
  <c r="I33" i="1"/>
  <c r="I65" i="1"/>
  <c r="I24" i="1"/>
  <c r="I56" i="1"/>
  <c r="I62" i="1"/>
  <c r="I38" i="1"/>
  <c r="I22" i="1"/>
  <c r="I32" i="1"/>
  <c r="I64" i="1"/>
  <c r="F320" i="2"/>
  <c r="G284" i="1" s="1"/>
  <c r="H379" i="4"/>
  <c r="F284" i="1" s="1"/>
  <c r="G150" i="8"/>
  <c r="D164" i="1" s="1"/>
  <c r="O34" i="10"/>
  <c r="E98" i="8" s="1"/>
  <c r="G98" i="8" s="1"/>
  <c r="D98" i="1" s="1"/>
  <c r="O28" i="10"/>
  <c r="E92" i="8" s="1"/>
  <c r="G92" i="8" s="1"/>
  <c r="D92" i="1" s="1"/>
  <c r="O24" i="10"/>
  <c r="E88" i="8" s="1"/>
  <c r="G88" i="8" s="1"/>
  <c r="D88" i="1" s="1"/>
  <c r="O30" i="10"/>
  <c r="E94" i="8" s="1"/>
  <c r="G94" i="8" s="1"/>
  <c r="D94" i="1" s="1"/>
  <c r="O32" i="10"/>
  <c r="E96" i="8" s="1"/>
  <c r="G96" i="8" s="1"/>
  <c r="D96" i="1" s="1"/>
  <c r="O26" i="10"/>
  <c r="E90" i="8" s="1"/>
  <c r="G90" i="8" s="1"/>
  <c r="D90" i="1" s="1"/>
  <c r="F39" i="5"/>
  <c r="F55" i="5"/>
  <c r="F67" i="5"/>
  <c r="F83" i="5"/>
  <c r="F97" i="5"/>
  <c r="F111" i="5"/>
  <c r="F127" i="5"/>
  <c r="F132" i="5"/>
  <c r="F157" i="5"/>
  <c r="I159" i="1" s="1"/>
  <c r="F164" i="5"/>
  <c r="F181" i="5"/>
  <c r="F11" i="5"/>
  <c r="F10" i="5" s="1"/>
  <c r="F22" i="5"/>
  <c r="F31" i="5"/>
  <c r="I72" i="1" s="1"/>
  <c r="F47" i="5"/>
  <c r="F61" i="5"/>
  <c r="F75" i="5"/>
  <c r="F91" i="5"/>
  <c r="F105" i="5"/>
  <c r="F121" i="5"/>
  <c r="F141" i="5"/>
  <c r="I129" i="1" s="1"/>
  <c r="F148" i="5"/>
  <c r="I130" i="1" s="1"/>
  <c r="F172" i="5"/>
  <c r="I52" i="3"/>
  <c r="I331" i="3"/>
  <c r="I61" i="3"/>
  <c r="I340" i="3"/>
  <c r="I72" i="3"/>
  <c r="I85" i="3"/>
  <c r="I24" i="3"/>
  <c r="I33" i="3"/>
  <c r="I21" i="6"/>
  <c r="I27" i="6"/>
  <c r="I39" i="6"/>
  <c r="I12" i="3"/>
  <c r="I11" i="3" s="1"/>
  <c r="E10" i="1" s="1"/>
  <c r="H11" i="3"/>
  <c r="K351" i="1" l="1"/>
  <c r="M351" i="1" s="1"/>
  <c r="J351" i="1"/>
  <c r="K353" i="1"/>
  <c r="M353" i="1" s="1"/>
  <c r="J353" i="1"/>
  <c r="K349" i="1"/>
  <c r="J349" i="1"/>
  <c r="J343" i="1"/>
  <c r="L343" i="1" s="1"/>
  <c r="K343" i="1"/>
  <c r="J345" i="1"/>
  <c r="K345" i="1"/>
  <c r="K341" i="1"/>
  <c r="J341" i="1"/>
  <c r="K337" i="1"/>
  <c r="M337" i="1" s="1"/>
  <c r="J337" i="1"/>
  <c r="K335" i="1"/>
  <c r="M335" i="1" s="1"/>
  <c r="J335" i="1"/>
  <c r="L335" i="1" s="1"/>
  <c r="K333" i="1"/>
  <c r="J333" i="1"/>
  <c r="L333" i="1" s="1"/>
  <c r="K329" i="1"/>
  <c r="M329" i="1" s="1"/>
  <c r="J329" i="1"/>
  <c r="K324" i="1"/>
  <c r="J324" i="1"/>
  <c r="K322" i="1"/>
  <c r="M322" i="1" s="1"/>
  <c r="J322" i="1"/>
  <c r="L322" i="1" s="1"/>
  <c r="K275" i="1"/>
  <c r="M275" i="1" s="1"/>
  <c r="J275" i="1"/>
  <c r="K270" i="1"/>
  <c r="M270" i="1" s="1"/>
  <c r="J270" i="1"/>
  <c r="J263" i="1"/>
  <c r="K263" i="1"/>
  <c r="K256" i="1"/>
  <c r="J256" i="1"/>
  <c r="K249" i="1"/>
  <c r="J249" i="1"/>
  <c r="K242" i="1"/>
  <c r="M242" i="1" s="1"/>
  <c r="J242" i="1"/>
  <c r="K237" i="1"/>
  <c r="J237" i="1"/>
  <c r="K234" i="1"/>
  <c r="M234" i="1" s="1"/>
  <c r="J234" i="1"/>
  <c r="K233" i="1"/>
  <c r="J233" i="1"/>
  <c r="K236" i="1"/>
  <c r="M236" i="1" s="1"/>
  <c r="J236" i="1"/>
  <c r="K227" i="1"/>
  <c r="M227" i="1" s="1"/>
  <c r="J227" i="1"/>
  <c r="L227" i="1" s="1"/>
  <c r="M220" i="1"/>
  <c r="K220" i="1"/>
  <c r="J220" i="1"/>
  <c r="L220" i="1" s="1"/>
  <c r="K213" i="1"/>
  <c r="J213" i="1"/>
  <c r="L213" i="1" s="1"/>
  <c r="K206" i="1"/>
  <c r="J206" i="1"/>
  <c r="L206" i="1" s="1"/>
  <c r="K199" i="1"/>
  <c r="M199" i="1" s="1"/>
  <c r="J199" i="1"/>
  <c r="K194" i="1"/>
  <c r="J194" i="1"/>
  <c r="L194" i="1" s="1"/>
  <c r="K192" i="1"/>
  <c r="M192" i="1" s="1"/>
  <c r="J192" i="1"/>
  <c r="K182" i="1"/>
  <c r="M182" i="1" s="1"/>
  <c r="J182" i="1"/>
  <c r="L182" i="1" s="1"/>
  <c r="K184" i="1"/>
  <c r="J184" i="1"/>
  <c r="L184" i="1" s="1"/>
  <c r="K185" i="1"/>
  <c r="J185" i="1"/>
  <c r="L185" i="1" s="1"/>
  <c r="K159" i="1"/>
  <c r="J159" i="1"/>
  <c r="L159" i="1" s="1"/>
  <c r="K151" i="1"/>
  <c r="M151" i="1" s="1"/>
  <c r="J151" i="1"/>
  <c r="L151" i="1" s="1"/>
  <c r="K154" i="1"/>
  <c r="M154" i="1" s="1"/>
  <c r="J154" i="1"/>
  <c r="L154" i="1" s="1"/>
  <c r="K157" i="1"/>
  <c r="M157" i="1" s="1"/>
  <c r="J157" i="1"/>
  <c r="L157" i="1" s="1"/>
  <c r="K156" i="1"/>
  <c r="M156" i="1" s="1"/>
  <c r="J156" i="1"/>
  <c r="L156" i="1" s="1"/>
  <c r="K158" i="1"/>
  <c r="M158" i="1" s="1"/>
  <c r="J158" i="1"/>
  <c r="L158" i="1" s="1"/>
  <c r="K153" i="1"/>
  <c r="M153" i="1" s="1"/>
  <c r="J153" i="1"/>
  <c r="L153" i="1" s="1"/>
  <c r="K152" i="1"/>
  <c r="M152" i="1" s="1"/>
  <c r="J152" i="1"/>
  <c r="L152" i="1" s="1"/>
  <c r="K146" i="1"/>
  <c r="M146" i="1" s="1"/>
  <c r="J146" i="1"/>
  <c r="K145" i="1"/>
  <c r="M145" i="1" s="1"/>
  <c r="J145" i="1"/>
  <c r="L145" i="1" s="1"/>
  <c r="M144" i="1"/>
  <c r="K144" i="1"/>
  <c r="J144" i="1"/>
  <c r="L144" i="1" s="1"/>
  <c r="K142" i="1"/>
  <c r="M142" i="1" s="1"/>
  <c r="J142" i="1"/>
  <c r="L142" i="1" s="1"/>
  <c r="K149" i="1"/>
  <c r="M149" i="1" s="1"/>
  <c r="J149" i="1"/>
  <c r="K148" i="1"/>
  <c r="M148" i="1" s="1"/>
  <c r="J148" i="1"/>
  <c r="L148" i="1" s="1"/>
  <c r="K143" i="1"/>
  <c r="M143" i="1" s="1"/>
  <c r="J143" i="1"/>
  <c r="L143" i="1" s="1"/>
  <c r="K130" i="1"/>
  <c r="M130" i="1" s="1"/>
  <c r="J130" i="1"/>
  <c r="K129" i="1"/>
  <c r="M129" i="1" s="1"/>
  <c r="J129" i="1"/>
  <c r="L129" i="1" s="1"/>
  <c r="K72" i="1"/>
  <c r="J72" i="1"/>
  <c r="K64" i="1"/>
  <c r="M64" i="1" s="1"/>
  <c r="J64" i="1"/>
  <c r="K65" i="1"/>
  <c r="J65" i="1"/>
  <c r="K61" i="1"/>
  <c r="J61" i="1"/>
  <c r="L61" i="1" s="1"/>
  <c r="K62" i="1"/>
  <c r="J62" i="1"/>
  <c r="L62" i="1" s="1"/>
  <c r="K63" i="1"/>
  <c r="J63" i="1"/>
  <c r="L63" i="1" s="1"/>
  <c r="K60" i="1"/>
  <c r="M60" i="1" s="1"/>
  <c r="J60" i="1"/>
  <c r="K66" i="1"/>
  <c r="M66" i="1" s="1"/>
  <c r="J66" i="1"/>
  <c r="L66" i="1" s="1"/>
  <c r="K59" i="1"/>
  <c r="J59" i="1"/>
  <c r="J56" i="1"/>
  <c r="K56" i="1"/>
  <c r="J51" i="1"/>
  <c r="K51" i="1"/>
  <c r="J50" i="1"/>
  <c r="K50" i="1"/>
  <c r="J52" i="1"/>
  <c r="K52" i="1"/>
  <c r="J55" i="1"/>
  <c r="K55" i="1"/>
  <c r="J53" i="1"/>
  <c r="K53" i="1"/>
  <c r="J57" i="1"/>
  <c r="K57" i="1"/>
  <c r="J54" i="1"/>
  <c r="K54" i="1"/>
  <c r="K38" i="1"/>
  <c r="J38" i="1"/>
  <c r="L38" i="1" s="1"/>
  <c r="K31" i="1"/>
  <c r="J31" i="1"/>
  <c r="L31" i="1" s="1"/>
  <c r="K36" i="1"/>
  <c r="J36" i="1"/>
  <c r="L36" i="1" s="1"/>
  <c r="K34" i="1"/>
  <c r="J34" i="1"/>
  <c r="L34" i="1" s="1"/>
  <c r="K35" i="1"/>
  <c r="J35" i="1"/>
  <c r="L35" i="1" s="1"/>
  <c r="K32" i="1"/>
  <c r="J32" i="1"/>
  <c r="K33" i="1"/>
  <c r="J33" i="1"/>
  <c r="L33" i="1" s="1"/>
  <c r="K37" i="1"/>
  <c r="J37" i="1"/>
  <c r="L37" i="1" s="1"/>
  <c r="K29" i="1"/>
  <c r="M29" i="1" s="1"/>
  <c r="J29" i="1"/>
  <c r="L29" i="1" s="1"/>
  <c r="K26" i="1"/>
  <c r="J26" i="1"/>
  <c r="K25" i="1"/>
  <c r="J25" i="1"/>
  <c r="K22" i="1"/>
  <c r="J22" i="1"/>
  <c r="K24" i="1"/>
  <c r="J24" i="1"/>
  <c r="K27" i="1"/>
  <c r="J27" i="1"/>
  <c r="K28" i="1"/>
  <c r="J28" i="1"/>
  <c r="K23" i="1"/>
  <c r="J23" i="1"/>
  <c r="L337" i="1"/>
  <c r="M333" i="1"/>
  <c r="M213" i="1"/>
  <c r="M206" i="1"/>
  <c r="I88" i="3"/>
  <c r="E81" i="1"/>
  <c r="I83" i="3"/>
  <c r="E76" i="1"/>
  <c r="L199" i="1"/>
  <c r="M185" i="1"/>
  <c r="L275" i="1"/>
  <c r="M184" i="1"/>
  <c r="L270" i="1"/>
  <c r="L256" i="1"/>
  <c r="M256" i="1"/>
  <c r="L233" i="1"/>
  <c r="M233" i="1"/>
  <c r="L236" i="1"/>
  <c r="G164" i="8"/>
  <c r="D179" i="1"/>
  <c r="G241" i="8"/>
  <c r="D255" i="1" s="1"/>
  <c r="I255" i="1" s="1"/>
  <c r="D212" i="1"/>
  <c r="I212" i="1" s="1"/>
  <c r="G255" i="8"/>
  <c r="D269" i="1" s="1"/>
  <c r="I269" i="1" s="1"/>
  <c r="D226" i="1"/>
  <c r="G233" i="8"/>
  <c r="D247" i="1" s="1"/>
  <c r="I247" i="1" s="1"/>
  <c r="D204" i="1"/>
  <c r="G240" i="8"/>
  <c r="D254" i="1" s="1"/>
  <c r="I254" i="1" s="1"/>
  <c r="D211" i="1"/>
  <c r="G229" i="8"/>
  <c r="D243" i="1" s="1"/>
  <c r="I243" i="1" s="1"/>
  <c r="D200" i="1"/>
  <c r="G250" i="8"/>
  <c r="D264" i="1" s="1"/>
  <c r="I264" i="1" s="1"/>
  <c r="D221" i="1"/>
  <c r="G257" i="8"/>
  <c r="D271" i="1" s="1"/>
  <c r="I271" i="1" s="1"/>
  <c r="D228" i="1"/>
  <c r="G258" i="8"/>
  <c r="D272" i="1" s="1"/>
  <c r="I272" i="1" s="1"/>
  <c r="D229" i="1"/>
  <c r="I229" i="1" s="1"/>
  <c r="G237" i="8"/>
  <c r="D251" i="1" s="1"/>
  <c r="I251" i="1" s="1"/>
  <c r="D208" i="1"/>
  <c r="L234" i="1"/>
  <c r="G161" i="8"/>
  <c r="D176" i="1"/>
  <c r="G234" i="8"/>
  <c r="D248" i="1" s="1"/>
  <c r="I248" i="1" s="1"/>
  <c r="D205" i="1"/>
  <c r="G248" i="8"/>
  <c r="D262" i="1" s="1"/>
  <c r="I262" i="1" s="1"/>
  <c r="D219" i="1"/>
  <c r="G226" i="8"/>
  <c r="D240" i="1" s="1"/>
  <c r="I240" i="1" s="1"/>
  <c r="D197" i="1"/>
  <c r="I197" i="1" s="1"/>
  <c r="G247" i="8"/>
  <c r="D261" i="1" s="1"/>
  <c r="I261" i="1" s="1"/>
  <c r="D218" i="1"/>
  <c r="G254" i="8"/>
  <c r="D268" i="1" s="1"/>
  <c r="I268" i="1" s="1"/>
  <c r="D225" i="1"/>
  <c r="I225" i="1" s="1"/>
  <c r="G236" i="8"/>
  <c r="D250" i="1" s="1"/>
  <c r="I250" i="1" s="1"/>
  <c r="D207" i="1"/>
  <c r="I207" i="1" s="1"/>
  <c r="G243" i="8"/>
  <c r="D257" i="1" s="1"/>
  <c r="I257" i="1" s="1"/>
  <c r="D214" i="1"/>
  <c r="I214" i="1" s="1"/>
  <c r="G244" i="8"/>
  <c r="D258" i="1" s="1"/>
  <c r="I258" i="1" s="1"/>
  <c r="D215" i="1"/>
  <c r="G230" i="8"/>
  <c r="D244" i="1" s="1"/>
  <c r="I244" i="1" s="1"/>
  <c r="D201" i="1"/>
  <c r="G251" i="8"/>
  <c r="D265" i="1" s="1"/>
  <c r="I265" i="1" s="1"/>
  <c r="D222" i="1"/>
  <c r="G227" i="8"/>
  <c r="D241" i="1" s="1"/>
  <c r="I241" i="1" s="1"/>
  <c r="D198" i="1"/>
  <c r="I198" i="1" s="1"/>
  <c r="L242" i="1"/>
  <c r="M263" i="1"/>
  <c r="L263" i="1"/>
  <c r="L249" i="1"/>
  <c r="M249" i="1"/>
  <c r="L237" i="1"/>
  <c r="M237" i="1"/>
  <c r="M343" i="1"/>
  <c r="I226" i="1"/>
  <c r="I201" i="1"/>
  <c r="L341" i="1"/>
  <c r="M341" i="1"/>
  <c r="M345" i="1"/>
  <c r="L345" i="1"/>
  <c r="G311" i="8"/>
  <c r="G316" i="8"/>
  <c r="G312" i="8" s="1"/>
  <c r="L353" i="1"/>
  <c r="L349" i="1"/>
  <c r="M349" i="1"/>
  <c r="L351" i="1"/>
  <c r="I218" i="1"/>
  <c r="L192" i="1"/>
  <c r="I97" i="1"/>
  <c r="I99" i="1"/>
  <c r="I205" i="1"/>
  <c r="I215" i="1"/>
  <c r="I211" i="1"/>
  <c r="I193" i="1"/>
  <c r="G259" i="8"/>
  <c r="G252" i="8"/>
  <c r="G245" i="8"/>
  <c r="G238" i="8"/>
  <c r="G231" i="8"/>
  <c r="G224" i="8"/>
  <c r="G216" i="8"/>
  <c r="G202" i="8"/>
  <c r="D216" i="1" s="1"/>
  <c r="G209" i="8"/>
  <c r="D223" i="1" s="1"/>
  <c r="G195" i="8"/>
  <c r="D209" i="1" s="1"/>
  <c r="I204" i="1"/>
  <c r="I190" i="1"/>
  <c r="I228" i="1"/>
  <c r="L149" i="1"/>
  <c r="I221" i="1"/>
  <c r="I200" i="1"/>
  <c r="I191" i="1"/>
  <c r="I219" i="1"/>
  <c r="I222" i="1"/>
  <c r="I208" i="1"/>
  <c r="G148" i="8"/>
  <c r="G188" i="8"/>
  <c r="G181" i="8"/>
  <c r="G86" i="8"/>
  <c r="G156" i="8"/>
  <c r="D170" i="1" s="1"/>
  <c r="G153" i="8"/>
  <c r="G154" i="8"/>
  <c r="L146" i="1"/>
  <c r="G104" i="8"/>
  <c r="D104" i="1" s="1"/>
  <c r="D122" i="1"/>
  <c r="G108" i="8"/>
  <c r="D108" i="1" s="1"/>
  <c r="G106" i="8"/>
  <c r="D106" i="1" s="1"/>
  <c r="G110" i="8"/>
  <c r="D110" i="1" s="1"/>
  <c r="D116" i="1"/>
  <c r="G102" i="8"/>
  <c r="D102" i="1" s="1"/>
  <c r="G112" i="8"/>
  <c r="D112" i="1" s="1"/>
  <c r="L130" i="1"/>
  <c r="I119" i="1"/>
  <c r="I115" i="1"/>
  <c r="I83" i="1"/>
  <c r="I78" i="1"/>
  <c r="I73" i="1"/>
  <c r="I105" i="1"/>
  <c r="I95" i="1"/>
  <c r="I123" i="1"/>
  <c r="I173" i="1"/>
  <c r="I179" i="1"/>
  <c r="I325" i="3"/>
  <c r="I46" i="3"/>
  <c r="I160" i="3"/>
  <c r="I18" i="3"/>
  <c r="I329" i="3"/>
  <c r="I50" i="3"/>
  <c r="I164" i="3"/>
  <c r="I22" i="3"/>
  <c r="I125" i="1"/>
  <c r="I107" i="1"/>
  <c r="I121" i="1"/>
  <c r="I103" i="1"/>
  <c r="I117" i="1"/>
  <c r="I82" i="1"/>
  <c r="I77" i="1"/>
  <c r="F236" i="5"/>
  <c r="I166" i="1"/>
  <c r="I127" i="1"/>
  <c r="I91" i="1"/>
  <c r="I113" i="1"/>
  <c r="I89" i="1"/>
  <c r="I87" i="1"/>
  <c r="I163" i="1"/>
  <c r="I93" i="1"/>
  <c r="I176" i="1"/>
  <c r="L329" i="1"/>
  <c r="M324" i="1"/>
  <c r="L324" i="1"/>
  <c r="M194" i="1"/>
  <c r="L72" i="1"/>
  <c r="M72" i="1"/>
  <c r="L65" i="1"/>
  <c r="M65" i="1"/>
  <c r="L60" i="1"/>
  <c r="L59" i="1"/>
  <c r="M59" i="1"/>
  <c r="L64" i="1"/>
  <c r="M62" i="1"/>
  <c r="M63" i="1"/>
  <c r="M61" i="1"/>
  <c r="L56" i="1"/>
  <c r="M56" i="1"/>
  <c r="L51" i="1"/>
  <c r="M51" i="1"/>
  <c r="L57" i="1"/>
  <c r="M57" i="1"/>
  <c r="L54" i="1"/>
  <c r="M54" i="1"/>
  <c r="L53" i="1"/>
  <c r="M53" i="1"/>
  <c r="L50" i="1"/>
  <c r="M50" i="1"/>
  <c r="L52" i="1"/>
  <c r="M52" i="1"/>
  <c r="L55" i="1"/>
  <c r="M55" i="1"/>
  <c r="M32" i="1"/>
  <c r="L32" i="1"/>
  <c r="M38" i="1"/>
  <c r="M31" i="1"/>
  <c r="M37" i="1"/>
  <c r="M33" i="1"/>
  <c r="M36" i="1"/>
  <c r="M34" i="1"/>
  <c r="M35" i="1"/>
  <c r="L26" i="1"/>
  <c r="M26" i="1"/>
  <c r="L28" i="1"/>
  <c r="M28" i="1"/>
  <c r="L23" i="1"/>
  <c r="M23" i="1"/>
  <c r="L22" i="1"/>
  <c r="M22" i="1"/>
  <c r="L24" i="1"/>
  <c r="M24" i="1"/>
  <c r="L27" i="1"/>
  <c r="M27" i="1"/>
  <c r="L25" i="1"/>
  <c r="M25" i="1"/>
  <c r="I320" i="3"/>
  <c r="E284" i="1" s="1"/>
  <c r="I10" i="1"/>
  <c r="I76" i="1"/>
  <c r="I81" i="1"/>
  <c r="I71" i="1"/>
  <c r="F319" i="2"/>
  <c r="F312" i="2" s="1"/>
  <c r="H378" i="4"/>
  <c r="H365" i="4" s="1"/>
  <c r="F223" i="5"/>
  <c r="F253" i="5"/>
  <c r="H330" i="1" s="1"/>
  <c r="E15" i="1"/>
  <c r="I15" i="1" s="1"/>
  <c r="E289" i="1"/>
  <c r="I289" i="1" s="1"/>
  <c r="E135" i="1"/>
  <c r="I135" i="1" s="1"/>
  <c r="E43" i="1"/>
  <c r="I43" i="1" s="1"/>
  <c r="E293" i="1"/>
  <c r="I293" i="1" s="1"/>
  <c r="E139" i="1"/>
  <c r="I139" i="1" s="1"/>
  <c r="E47" i="1"/>
  <c r="I47" i="1" s="1"/>
  <c r="I323" i="3"/>
  <c r="E287" i="1" s="1"/>
  <c r="I287" i="1" s="1"/>
  <c r="I158" i="3"/>
  <c r="E133" i="1" s="1"/>
  <c r="I133" i="1" s="1"/>
  <c r="I44" i="3"/>
  <c r="E41" i="1" s="1"/>
  <c r="I41" i="1" s="1"/>
  <c r="I16" i="3"/>
  <c r="E13" i="1" s="1"/>
  <c r="I13" i="1" s="1"/>
  <c r="E19" i="1"/>
  <c r="I19" i="1" s="1"/>
  <c r="I33" i="6"/>
  <c r="I42" i="6"/>
  <c r="I30" i="6"/>
  <c r="I36" i="6"/>
  <c r="I24" i="6"/>
  <c r="M181" i="1" l="1"/>
  <c r="K287" i="1"/>
  <c r="J287" i="1"/>
  <c r="K289" i="1"/>
  <c r="J289" i="1"/>
  <c r="K293" i="1"/>
  <c r="J293" i="1"/>
  <c r="K272" i="1"/>
  <c r="M272" i="1" s="1"/>
  <c r="J272" i="1"/>
  <c r="L272" i="1" s="1"/>
  <c r="K271" i="1"/>
  <c r="M271" i="1" s="1"/>
  <c r="J271" i="1"/>
  <c r="K269" i="1"/>
  <c r="M269" i="1" s="1"/>
  <c r="J269" i="1"/>
  <c r="K268" i="1"/>
  <c r="J268" i="1"/>
  <c r="J265" i="1"/>
  <c r="K265" i="1"/>
  <c r="M265" i="1" s="1"/>
  <c r="J261" i="1"/>
  <c r="K261" i="1"/>
  <c r="J262" i="1"/>
  <c r="K262" i="1"/>
  <c r="M262" i="1" s="1"/>
  <c r="J264" i="1"/>
  <c r="K264" i="1"/>
  <c r="K254" i="1"/>
  <c r="J254" i="1"/>
  <c r="K255" i="1"/>
  <c r="M255" i="1" s="1"/>
  <c r="J255" i="1"/>
  <c r="L255" i="1" s="1"/>
  <c r="K258" i="1"/>
  <c r="M258" i="1" s="1"/>
  <c r="J258" i="1"/>
  <c r="K257" i="1"/>
  <c r="M257" i="1" s="1"/>
  <c r="J257" i="1"/>
  <c r="L257" i="1" s="1"/>
  <c r="K251" i="1"/>
  <c r="M251" i="1" s="1"/>
  <c r="J251" i="1"/>
  <c r="K250" i="1"/>
  <c r="M250" i="1" s="1"/>
  <c r="J250" i="1"/>
  <c r="K248" i="1"/>
  <c r="M248" i="1" s="1"/>
  <c r="J248" i="1"/>
  <c r="L248" i="1" s="1"/>
  <c r="K247" i="1"/>
  <c r="M247" i="1" s="1"/>
  <c r="J247" i="1"/>
  <c r="L247" i="1" s="1"/>
  <c r="K241" i="1"/>
  <c r="J241" i="1"/>
  <c r="K244" i="1"/>
  <c r="J244" i="1"/>
  <c r="K240" i="1"/>
  <c r="J240" i="1"/>
  <c r="L240" i="1" s="1"/>
  <c r="K243" i="1"/>
  <c r="J243" i="1"/>
  <c r="L243" i="1" s="1"/>
  <c r="K228" i="1"/>
  <c r="M228" i="1" s="1"/>
  <c r="J228" i="1"/>
  <c r="L228" i="1" s="1"/>
  <c r="K226" i="1"/>
  <c r="J226" i="1"/>
  <c r="L226" i="1" s="1"/>
  <c r="K225" i="1"/>
  <c r="J225" i="1"/>
  <c r="L225" i="1" s="1"/>
  <c r="K229" i="1"/>
  <c r="M229" i="1" s="1"/>
  <c r="J229" i="1"/>
  <c r="K222" i="1"/>
  <c r="M222" i="1" s="1"/>
  <c r="J222" i="1"/>
  <c r="K221" i="1"/>
  <c r="M221" i="1" s="1"/>
  <c r="J221" i="1"/>
  <c r="K218" i="1"/>
  <c r="M218" i="1" s="1"/>
  <c r="J218" i="1"/>
  <c r="L218" i="1" s="1"/>
  <c r="K219" i="1"/>
  <c r="M219" i="1" s="1"/>
  <c r="J219" i="1"/>
  <c r="K215" i="1"/>
  <c r="M215" i="1" s="1"/>
  <c r="J215" i="1"/>
  <c r="M214" i="1"/>
  <c r="K214" i="1"/>
  <c r="J214" i="1"/>
  <c r="K212" i="1"/>
  <c r="J212" i="1"/>
  <c r="L212" i="1" s="1"/>
  <c r="K211" i="1"/>
  <c r="M211" i="1" s="1"/>
  <c r="J211" i="1"/>
  <c r="L211" i="1" s="1"/>
  <c r="K204" i="1"/>
  <c r="J204" i="1"/>
  <c r="L204" i="1" s="1"/>
  <c r="K205" i="1"/>
  <c r="M205" i="1" s="1"/>
  <c r="J205" i="1"/>
  <c r="K208" i="1"/>
  <c r="M208" i="1" s="1"/>
  <c r="J208" i="1"/>
  <c r="K207" i="1"/>
  <c r="M207" i="1" s="1"/>
  <c r="J207" i="1"/>
  <c r="L207" i="1" s="1"/>
  <c r="K200" i="1"/>
  <c r="J200" i="1"/>
  <c r="L200" i="1" s="1"/>
  <c r="K201" i="1"/>
  <c r="J201" i="1"/>
  <c r="L201" i="1" s="1"/>
  <c r="K198" i="1"/>
  <c r="J198" i="1"/>
  <c r="L198" i="1" s="1"/>
  <c r="K197" i="1"/>
  <c r="M197" i="1" s="1"/>
  <c r="J197" i="1"/>
  <c r="L197" i="1" s="1"/>
  <c r="K190" i="1"/>
  <c r="J190" i="1"/>
  <c r="L190" i="1" s="1"/>
  <c r="K193" i="1"/>
  <c r="M193" i="1" s="1"/>
  <c r="J193" i="1"/>
  <c r="L193" i="1" s="1"/>
  <c r="K191" i="1"/>
  <c r="M191" i="1" s="1"/>
  <c r="J191" i="1"/>
  <c r="K179" i="1"/>
  <c r="M179" i="1" s="1"/>
  <c r="J179" i="1"/>
  <c r="L179" i="1" s="1"/>
  <c r="K176" i="1"/>
  <c r="M176" i="1" s="1"/>
  <c r="J176" i="1"/>
  <c r="M173" i="1"/>
  <c r="K173" i="1"/>
  <c r="J173" i="1"/>
  <c r="L173" i="1" s="1"/>
  <c r="K166" i="1"/>
  <c r="J166" i="1"/>
  <c r="K163" i="1"/>
  <c r="M163" i="1" s="1"/>
  <c r="J163" i="1"/>
  <c r="K133" i="1"/>
  <c r="J133" i="1"/>
  <c r="K135" i="1"/>
  <c r="J135" i="1"/>
  <c r="K139" i="1"/>
  <c r="M139" i="1" s="1"/>
  <c r="J139" i="1"/>
  <c r="K127" i="1"/>
  <c r="M127" i="1" s="1"/>
  <c r="J127" i="1"/>
  <c r="K123" i="1"/>
  <c r="M123" i="1" s="1"/>
  <c r="J123" i="1"/>
  <c r="L123" i="1" s="1"/>
  <c r="K115" i="1"/>
  <c r="M115" i="1" s="1"/>
  <c r="J115" i="1"/>
  <c r="K117" i="1"/>
  <c r="J117" i="1"/>
  <c r="L117" i="1" s="1"/>
  <c r="K121" i="1"/>
  <c r="M121" i="1" s="1"/>
  <c r="J121" i="1"/>
  <c r="K125" i="1"/>
  <c r="M125" i="1" s="1"/>
  <c r="J125" i="1"/>
  <c r="K119" i="1"/>
  <c r="M119" i="1" s="1"/>
  <c r="J119" i="1"/>
  <c r="K107" i="1"/>
  <c r="M107" i="1" s="1"/>
  <c r="J107" i="1"/>
  <c r="K113" i="1"/>
  <c r="M113" i="1" s="1"/>
  <c r="J113" i="1"/>
  <c r="L113" i="1" s="1"/>
  <c r="K103" i="1"/>
  <c r="J103" i="1"/>
  <c r="K105" i="1"/>
  <c r="M105" i="1" s="1"/>
  <c r="J105" i="1"/>
  <c r="L105" i="1" s="1"/>
  <c r="K89" i="1"/>
  <c r="J89" i="1"/>
  <c r="L89" i="1" s="1"/>
  <c r="K91" i="1"/>
  <c r="M91" i="1" s="1"/>
  <c r="J91" i="1"/>
  <c r="M95" i="1"/>
  <c r="K95" i="1"/>
  <c r="J95" i="1"/>
  <c r="L95" i="1" s="1"/>
  <c r="K99" i="1"/>
  <c r="J99" i="1"/>
  <c r="L99" i="1" s="1"/>
  <c r="K93" i="1"/>
  <c r="M93" i="1" s="1"/>
  <c r="J93" i="1"/>
  <c r="L93" i="1" s="1"/>
  <c r="K87" i="1"/>
  <c r="J87" i="1"/>
  <c r="L87" i="1" s="1"/>
  <c r="K97" i="1"/>
  <c r="J97" i="1"/>
  <c r="L97" i="1" s="1"/>
  <c r="K82" i="1"/>
  <c r="M82" i="1" s="1"/>
  <c r="J82" i="1"/>
  <c r="K83" i="1"/>
  <c r="M83" i="1" s="1"/>
  <c r="J83" i="1"/>
  <c r="K81" i="1"/>
  <c r="J81" i="1"/>
  <c r="K78" i="1"/>
  <c r="M78" i="1" s="1"/>
  <c r="J78" i="1"/>
  <c r="K76" i="1"/>
  <c r="M76" i="1" s="1"/>
  <c r="J76" i="1"/>
  <c r="K77" i="1"/>
  <c r="M77" i="1" s="1"/>
  <c r="J77" i="1"/>
  <c r="K71" i="1"/>
  <c r="M71" i="1" s="1"/>
  <c r="J71" i="1"/>
  <c r="K73" i="1"/>
  <c r="M73" i="1" s="1"/>
  <c r="J73" i="1"/>
  <c r="K47" i="1"/>
  <c r="J47" i="1"/>
  <c r="K41" i="1"/>
  <c r="J41" i="1"/>
  <c r="K43" i="1"/>
  <c r="M43" i="1" s="1"/>
  <c r="J43" i="1"/>
  <c r="K19" i="1"/>
  <c r="J19" i="1"/>
  <c r="K13" i="1"/>
  <c r="M13" i="1" s="1"/>
  <c r="J13" i="1"/>
  <c r="K15" i="1"/>
  <c r="M15" i="1" s="1"/>
  <c r="J15" i="1"/>
  <c r="J10" i="1"/>
  <c r="L10" i="1" s="1"/>
  <c r="K10" i="1"/>
  <c r="M198" i="1"/>
  <c r="L229" i="1"/>
  <c r="M225" i="1"/>
  <c r="M212" i="1"/>
  <c r="L214" i="1"/>
  <c r="L205" i="1"/>
  <c r="M226" i="1"/>
  <c r="L208" i="1"/>
  <c r="M201" i="1"/>
  <c r="L215" i="1"/>
  <c r="L181" i="1"/>
  <c r="G189" i="8"/>
  <c r="G196" i="8"/>
  <c r="G175" i="8"/>
  <c r="D195" i="1"/>
  <c r="G203" i="8"/>
  <c r="G218" i="8"/>
  <c r="D238" i="1"/>
  <c r="I238" i="1" s="1"/>
  <c r="G232" i="8"/>
  <c r="D252" i="1"/>
  <c r="I252" i="1" s="1"/>
  <c r="G246" i="8"/>
  <c r="D266" i="1"/>
  <c r="I266" i="1" s="1"/>
  <c r="G151" i="8"/>
  <c r="D167" i="1"/>
  <c r="G182" i="8"/>
  <c r="D202" i="1"/>
  <c r="G210" i="8"/>
  <c r="D230" i="1"/>
  <c r="G225" i="8"/>
  <c r="D245" i="1"/>
  <c r="I245" i="1" s="1"/>
  <c r="G239" i="8"/>
  <c r="D259" i="1"/>
  <c r="I259" i="1" s="1"/>
  <c r="G253" i="8"/>
  <c r="D273" i="1"/>
  <c r="I273" i="1" s="1"/>
  <c r="L241" i="1"/>
  <c r="M241" i="1"/>
  <c r="L265" i="1"/>
  <c r="L244" i="1"/>
  <c r="M244" i="1"/>
  <c r="L258" i="1"/>
  <c r="L250" i="1"/>
  <c r="M268" i="1"/>
  <c r="L268" i="1"/>
  <c r="L261" i="1"/>
  <c r="M261" i="1"/>
  <c r="M240" i="1"/>
  <c r="L262" i="1"/>
  <c r="L251" i="1"/>
  <c r="L271" i="1"/>
  <c r="L264" i="1"/>
  <c r="M264" i="1"/>
  <c r="M243" i="1"/>
  <c r="M254" i="1"/>
  <c r="L254" i="1"/>
  <c r="L269" i="1"/>
  <c r="I122" i="1"/>
  <c r="I101" i="1"/>
  <c r="I170" i="1"/>
  <c r="I169" i="1"/>
  <c r="I112" i="1"/>
  <c r="I111" i="1"/>
  <c r="I110" i="1"/>
  <c r="I109" i="1"/>
  <c r="I106" i="1"/>
  <c r="I104" i="1"/>
  <c r="I116" i="1"/>
  <c r="M97" i="1"/>
  <c r="G307" i="8"/>
  <c r="I330" i="1"/>
  <c r="M99" i="1"/>
  <c r="L191" i="1"/>
  <c r="M204" i="1"/>
  <c r="L222" i="1"/>
  <c r="L221" i="1"/>
  <c r="M190" i="1"/>
  <c r="M89" i="1"/>
  <c r="L219" i="1"/>
  <c r="M200" i="1"/>
  <c r="I195" i="1"/>
  <c r="D118" i="1"/>
  <c r="I118" i="1" s="1"/>
  <c r="L119" i="1"/>
  <c r="I90" i="1"/>
  <c r="I164" i="1"/>
  <c r="G100" i="8"/>
  <c r="I108" i="1"/>
  <c r="L163" i="1"/>
  <c r="I167" i="1"/>
  <c r="I92" i="1"/>
  <c r="I98" i="1"/>
  <c r="D120" i="1"/>
  <c r="I120" i="1" s="1"/>
  <c r="L121" i="1"/>
  <c r="L82" i="1"/>
  <c r="L115" i="1"/>
  <c r="D124" i="1"/>
  <c r="I124" i="1" s="1"/>
  <c r="I94" i="1"/>
  <c r="I102" i="1"/>
  <c r="D126" i="1"/>
  <c r="I126" i="1" s="1"/>
  <c r="I96" i="1"/>
  <c r="I88" i="1"/>
  <c r="M117" i="1"/>
  <c r="L91" i="1"/>
  <c r="M87" i="1"/>
  <c r="L176" i="1"/>
  <c r="L127" i="1"/>
  <c r="M166" i="1"/>
  <c r="L166" i="1"/>
  <c r="L77" i="1"/>
  <c r="L125" i="1"/>
  <c r="L103" i="1"/>
  <c r="M103" i="1"/>
  <c r="L107" i="1"/>
  <c r="F235" i="5"/>
  <c r="L73" i="1"/>
  <c r="L83" i="1"/>
  <c r="I163" i="3"/>
  <c r="I21" i="3"/>
  <c r="I328" i="3"/>
  <c r="I49" i="3"/>
  <c r="I165" i="3"/>
  <c r="I23" i="3"/>
  <c r="I330" i="3"/>
  <c r="I51" i="3"/>
  <c r="I159" i="3"/>
  <c r="I324" i="3"/>
  <c r="I45" i="3"/>
  <c r="I17" i="3"/>
  <c r="I161" i="3"/>
  <c r="I19" i="3"/>
  <c r="I326" i="3"/>
  <c r="I47" i="3"/>
  <c r="I327" i="3"/>
  <c r="I48" i="3"/>
  <c r="I162" i="3"/>
  <c r="I20" i="3"/>
  <c r="E17" i="1" s="1"/>
  <c r="I17" i="1" s="1"/>
  <c r="I209" i="1"/>
  <c r="I230" i="1"/>
  <c r="I325" i="1"/>
  <c r="L78" i="1"/>
  <c r="M287" i="1"/>
  <c r="L289" i="1"/>
  <c r="M289" i="1"/>
  <c r="L293" i="1"/>
  <c r="M293" i="1"/>
  <c r="L139" i="1"/>
  <c r="M133" i="1"/>
  <c r="L135" i="1"/>
  <c r="M135" i="1"/>
  <c r="M81" i="1"/>
  <c r="L81" i="1"/>
  <c r="L76" i="1"/>
  <c r="L71" i="1"/>
  <c r="M47" i="1"/>
  <c r="L41" i="1"/>
  <c r="M41" i="1"/>
  <c r="M19" i="1"/>
  <c r="M10" i="1"/>
  <c r="L19" i="1"/>
  <c r="L43" i="1"/>
  <c r="L287" i="1"/>
  <c r="L13" i="1"/>
  <c r="L133" i="1"/>
  <c r="L47" i="1"/>
  <c r="L15" i="1"/>
  <c r="I284" i="1"/>
  <c r="E18" i="1"/>
  <c r="I18" i="1" s="1"/>
  <c r="E292" i="1"/>
  <c r="I292" i="1" s="1"/>
  <c r="E138" i="1"/>
  <c r="I138" i="1" s="1"/>
  <c r="E46" i="1"/>
  <c r="I46" i="1" s="1"/>
  <c r="E294" i="1"/>
  <c r="I294" i="1" s="1"/>
  <c r="E140" i="1"/>
  <c r="I140" i="1" s="1"/>
  <c r="E48" i="1"/>
  <c r="I48" i="1" s="1"/>
  <c r="E20" i="1"/>
  <c r="I20" i="1" s="1"/>
  <c r="E14" i="1"/>
  <c r="I14" i="1" s="1"/>
  <c r="E288" i="1"/>
  <c r="I288" i="1" s="1"/>
  <c r="E134" i="1"/>
  <c r="I134" i="1" s="1"/>
  <c r="E42" i="1"/>
  <c r="I42" i="1" s="1"/>
  <c r="E16" i="1"/>
  <c r="I16" i="1" s="1"/>
  <c r="E290" i="1"/>
  <c r="I290" i="1" s="1"/>
  <c r="E136" i="1"/>
  <c r="I136" i="1" s="1"/>
  <c r="E44" i="1"/>
  <c r="I44" i="1" s="1"/>
  <c r="E291" i="1"/>
  <c r="I291" i="1" s="1"/>
  <c r="E137" i="1"/>
  <c r="I137" i="1" s="1"/>
  <c r="E45" i="1"/>
  <c r="I45" i="1" s="1"/>
  <c r="I20" i="6"/>
  <c r="K330" i="1" l="1"/>
  <c r="J330" i="1"/>
  <c r="K325" i="1"/>
  <c r="M325" i="1" s="1"/>
  <c r="J325" i="1"/>
  <c r="K290" i="1"/>
  <c r="M290" i="1" s="1"/>
  <c r="J290" i="1"/>
  <c r="K288" i="1"/>
  <c r="M288" i="1" s="1"/>
  <c r="J288" i="1"/>
  <c r="K292" i="1"/>
  <c r="M292" i="1" s="1"/>
  <c r="J292" i="1"/>
  <c r="K291" i="1"/>
  <c r="M291" i="1" s="1"/>
  <c r="J291" i="1"/>
  <c r="K294" i="1"/>
  <c r="J294" i="1"/>
  <c r="K284" i="1"/>
  <c r="J284" i="1"/>
  <c r="K273" i="1"/>
  <c r="J273" i="1"/>
  <c r="J266" i="1"/>
  <c r="L266" i="1" s="1"/>
  <c r="K266" i="1"/>
  <c r="K259" i="1"/>
  <c r="M259" i="1" s="1"/>
  <c r="J259" i="1"/>
  <c r="K252" i="1"/>
  <c r="J252" i="1"/>
  <c r="K245" i="1"/>
  <c r="M245" i="1" s="1"/>
  <c r="J245" i="1"/>
  <c r="K238" i="1"/>
  <c r="J238" i="1"/>
  <c r="M230" i="1"/>
  <c r="K230" i="1"/>
  <c r="J230" i="1"/>
  <c r="L230" i="1" s="1"/>
  <c r="K209" i="1"/>
  <c r="J209" i="1"/>
  <c r="L209" i="1" s="1"/>
  <c r="K195" i="1"/>
  <c r="J195" i="1"/>
  <c r="L195" i="1" s="1"/>
  <c r="K169" i="1"/>
  <c r="J169" i="1"/>
  <c r="L169" i="1" s="1"/>
  <c r="K170" i="1"/>
  <c r="J170" i="1"/>
  <c r="L170" i="1" s="1"/>
  <c r="K167" i="1"/>
  <c r="J167" i="1"/>
  <c r="L167" i="1" s="1"/>
  <c r="K164" i="1"/>
  <c r="M164" i="1" s="1"/>
  <c r="J164" i="1"/>
  <c r="L164" i="1" s="1"/>
  <c r="K137" i="1"/>
  <c r="J137" i="1"/>
  <c r="L137" i="1" s="1"/>
  <c r="K140" i="1"/>
  <c r="J140" i="1"/>
  <c r="K136" i="1"/>
  <c r="J136" i="1"/>
  <c r="K134" i="1"/>
  <c r="J134" i="1"/>
  <c r="L134" i="1" s="1"/>
  <c r="K138" i="1"/>
  <c r="J138" i="1"/>
  <c r="L138" i="1" s="1"/>
  <c r="K124" i="1"/>
  <c r="M124" i="1" s="1"/>
  <c r="J124" i="1"/>
  <c r="L124" i="1" s="1"/>
  <c r="K120" i="1"/>
  <c r="M120" i="1" s="1"/>
  <c r="J120" i="1"/>
  <c r="K118" i="1"/>
  <c r="M118" i="1" s="1"/>
  <c r="J118" i="1"/>
  <c r="K116" i="1"/>
  <c r="M116" i="1" s="1"/>
  <c r="J116" i="1"/>
  <c r="K122" i="1"/>
  <c r="J122" i="1"/>
  <c r="L122" i="1" s="1"/>
  <c r="K126" i="1"/>
  <c r="M126" i="1" s="1"/>
  <c r="J126" i="1"/>
  <c r="L126" i="1" s="1"/>
  <c r="K102" i="1"/>
  <c r="J102" i="1"/>
  <c r="L102" i="1" s="1"/>
  <c r="K108" i="1"/>
  <c r="J108" i="1"/>
  <c r="L108" i="1" s="1"/>
  <c r="K106" i="1"/>
  <c r="M106" i="1" s="1"/>
  <c r="J106" i="1"/>
  <c r="K110" i="1"/>
  <c r="M110" i="1" s="1"/>
  <c r="J110" i="1"/>
  <c r="K112" i="1"/>
  <c r="M112" i="1" s="1"/>
  <c r="J112" i="1"/>
  <c r="K104" i="1"/>
  <c r="M104" i="1" s="1"/>
  <c r="J104" i="1"/>
  <c r="L104" i="1" s="1"/>
  <c r="K109" i="1"/>
  <c r="M109" i="1" s="1"/>
  <c r="J109" i="1"/>
  <c r="L109" i="1" s="1"/>
  <c r="K111" i="1"/>
  <c r="J111" i="1"/>
  <c r="L111" i="1" s="1"/>
  <c r="K101" i="1"/>
  <c r="M101" i="1" s="1"/>
  <c r="J101" i="1"/>
  <c r="M88" i="1"/>
  <c r="K88" i="1"/>
  <c r="J88" i="1"/>
  <c r="L88" i="1" s="1"/>
  <c r="K94" i="1"/>
  <c r="M94" i="1" s="1"/>
  <c r="J94" i="1"/>
  <c r="L94" i="1" s="1"/>
  <c r="K98" i="1"/>
  <c r="J98" i="1"/>
  <c r="L98" i="1" s="1"/>
  <c r="K92" i="1"/>
  <c r="J92" i="1"/>
  <c r="L92" i="1" s="1"/>
  <c r="K90" i="1"/>
  <c r="M90" i="1" s="1"/>
  <c r="J90" i="1"/>
  <c r="L90" i="1" s="1"/>
  <c r="K96" i="1"/>
  <c r="J96" i="1"/>
  <c r="L96" i="1" s="1"/>
  <c r="K44" i="1"/>
  <c r="M44" i="1" s="1"/>
  <c r="J44" i="1"/>
  <c r="L44" i="1" s="1"/>
  <c r="K42" i="1"/>
  <c r="M42" i="1" s="1"/>
  <c r="J42" i="1"/>
  <c r="K46" i="1"/>
  <c r="M46" i="1" s="1"/>
  <c r="J46" i="1"/>
  <c r="L46" i="1" s="1"/>
  <c r="K45" i="1"/>
  <c r="M45" i="1" s="1"/>
  <c r="J45" i="1"/>
  <c r="K48" i="1"/>
  <c r="M48" i="1" s="1"/>
  <c r="J48" i="1"/>
  <c r="L48" i="1" s="1"/>
  <c r="K20" i="1"/>
  <c r="J20" i="1"/>
  <c r="L20" i="1" s="1"/>
  <c r="K17" i="1"/>
  <c r="J17" i="1"/>
  <c r="K16" i="1"/>
  <c r="J16" i="1"/>
  <c r="L16" i="1" s="1"/>
  <c r="K14" i="1"/>
  <c r="M14" i="1" s="1"/>
  <c r="J14" i="1"/>
  <c r="L14" i="1" s="1"/>
  <c r="K18" i="1"/>
  <c r="J18" i="1"/>
  <c r="M98" i="1"/>
  <c r="M108" i="1"/>
  <c r="M92" i="1"/>
  <c r="M122" i="1"/>
  <c r="L116" i="1"/>
  <c r="L106" i="1"/>
  <c r="L110" i="1"/>
  <c r="L112" i="1"/>
  <c r="M170" i="1"/>
  <c r="L101" i="1"/>
  <c r="M169" i="1"/>
  <c r="M111" i="1"/>
  <c r="L273" i="1"/>
  <c r="M273" i="1"/>
  <c r="L259" i="1"/>
  <c r="L245" i="1"/>
  <c r="M266" i="1"/>
  <c r="L252" i="1"/>
  <c r="M252" i="1"/>
  <c r="L238" i="1"/>
  <c r="M238" i="1"/>
  <c r="L330" i="1"/>
  <c r="M330" i="1"/>
  <c r="L118" i="1"/>
  <c r="M102" i="1"/>
  <c r="I216" i="1"/>
  <c r="I223" i="1"/>
  <c r="M96" i="1"/>
  <c r="M167" i="1"/>
  <c r="L120" i="1"/>
  <c r="M195" i="1"/>
  <c r="M209" i="1"/>
  <c r="I202" i="1"/>
  <c r="L325" i="1"/>
  <c r="L290" i="1"/>
  <c r="L294" i="1"/>
  <c r="M294" i="1"/>
  <c r="L288" i="1"/>
  <c r="L292" i="1"/>
  <c r="L284" i="1"/>
  <c r="M284" i="1"/>
  <c r="M137" i="1"/>
  <c r="M134" i="1"/>
  <c r="M138" i="1"/>
  <c r="L136" i="1"/>
  <c r="M136" i="1"/>
  <c r="L140" i="1"/>
  <c r="M140" i="1"/>
  <c r="L42" i="1"/>
  <c r="L45" i="1"/>
  <c r="M17" i="1"/>
  <c r="M20" i="1"/>
  <c r="M16" i="1"/>
  <c r="M18" i="1"/>
  <c r="L17" i="1"/>
  <c r="L18" i="1"/>
  <c r="L291" i="1"/>
  <c r="I15" i="3"/>
  <c r="I157" i="3"/>
  <c r="I43" i="3"/>
  <c r="I322" i="3"/>
  <c r="K223" i="1" l="1"/>
  <c r="J223" i="1"/>
  <c r="L223" i="1" s="1"/>
  <c r="K216" i="1"/>
  <c r="J216" i="1"/>
  <c r="L216" i="1" s="1"/>
  <c r="K202" i="1"/>
  <c r="J202" i="1"/>
  <c r="L202" i="1" s="1"/>
  <c r="M216" i="1"/>
  <c r="M223" i="1"/>
  <c r="M202" i="1"/>
</calcChain>
</file>

<file path=xl/comments1.xml><?xml version="1.0" encoding="utf-8"?>
<comments xmlns="http://schemas.openxmlformats.org/spreadsheetml/2006/main">
  <authors>
    <author>HCTH03</author>
  </authors>
  <commentList>
    <comment ref="I198" authorId="0">
      <text>
        <r>
          <rPr>
            <b/>
            <sz val="9"/>
            <color indexed="81"/>
            <rFont val="Tahoma"/>
            <family val="2"/>
          </rPr>
          <t>HCTH03:</t>
        </r>
        <r>
          <rPr>
            <sz val="9"/>
            <color indexed="81"/>
            <rFont val="Tahoma"/>
            <family val="2"/>
          </rPr>
          <t xml:space="preserve">
Đã chỉnh công thức</t>
        </r>
      </text>
    </comment>
    <comment ref="J228" authorId="0">
      <text>
        <r>
          <rPr>
            <b/>
            <sz val="9"/>
            <color indexed="81"/>
            <rFont val="Tahoma"/>
            <family val="2"/>
          </rPr>
          <t>HCTH03:</t>
        </r>
        <r>
          <rPr>
            <sz val="9"/>
            <color indexed="81"/>
            <rFont val="Tahoma"/>
            <family val="2"/>
          </rPr>
          <t xml:space="preserve">
Chỉ nhân hệ số với công việc mục b,c</t>
        </r>
      </text>
    </comment>
    <comment ref="I278" authorId="0">
      <text>
        <r>
          <rPr>
            <b/>
            <sz val="9"/>
            <color indexed="81"/>
            <rFont val="Tahoma"/>
            <family val="2"/>
          </rPr>
          <t>HCTH03:</t>
        </r>
        <r>
          <rPr>
            <sz val="9"/>
            <color indexed="81"/>
            <rFont val="Tahoma"/>
            <family val="2"/>
          </rPr>
          <t xml:space="preserve">
Chỉ nhân hệ số với công việc mục b,c</t>
        </r>
      </text>
    </comment>
    <comment ref="I370" authorId="0">
      <text>
        <r>
          <rPr>
            <b/>
            <sz val="9"/>
            <color indexed="81"/>
            <rFont val="Tahoma"/>
            <family val="2"/>
          </rPr>
          <t>HCTH03:</t>
        </r>
        <r>
          <rPr>
            <sz val="9"/>
            <color indexed="81"/>
            <rFont val="Tahoma"/>
            <family val="2"/>
          </rPr>
          <t xml:space="preserve">
Chỉ nhân hệ số với công việc mục b,c</t>
        </r>
      </text>
    </comment>
    <comment ref="B402" authorId="0">
      <text>
        <r>
          <rPr>
            <b/>
            <sz val="9"/>
            <color indexed="81"/>
            <rFont val="Tahoma"/>
            <family val="2"/>
          </rPr>
          <t>HCTH03:</t>
        </r>
        <r>
          <rPr>
            <sz val="9"/>
            <color indexed="81"/>
            <rFont val="Tahoma"/>
            <family val="2"/>
          </rPr>
          <t xml:space="preserve">
Đã bổ sung thêm cung cấp tt ko thu phí</t>
        </r>
      </text>
    </comment>
  </commentList>
</comments>
</file>

<file path=xl/comments2.xml><?xml version="1.0" encoding="utf-8"?>
<comments xmlns="http://schemas.openxmlformats.org/spreadsheetml/2006/main">
  <authors>
    <author>HCTH03</author>
  </authors>
  <commentList>
    <comment ref="H293" authorId="0">
      <text>
        <r>
          <rPr>
            <b/>
            <sz val="9"/>
            <color indexed="81"/>
            <rFont val="Tahoma"/>
            <family val="2"/>
          </rPr>
          <t>HCTH03:</t>
        </r>
        <r>
          <rPr>
            <sz val="9"/>
            <color indexed="81"/>
            <rFont val="Tahoma"/>
            <family val="2"/>
          </rPr>
          <t xml:space="preserve">
Chỉ tính hệ số đối với công việc mục b,c</t>
        </r>
      </text>
    </comment>
    <comment ref="H300" authorId="0">
      <text>
        <r>
          <rPr>
            <b/>
            <sz val="9"/>
            <color indexed="81"/>
            <rFont val="Tahoma"/>
            <family val="2"/>
          </rPr>
          <t>HCTH03:</t>
        </r>
        <r>
          <rPr>
            <sz val="9"/>
            <color indexed="81"/>
            <rFont val="Tahoma"/>
            <family val="2"/>
          </rPr>
          <t xml:space="preserve">
Chỉ tính hệ số đối với công việc mục b,c</t>
        </r>
      </text>
    </comment>
    <comment ref="H307" authorId="0">
      <text>
        <r>
          <rPr>
            <b/>
            <sz val="9"/>
            <color indexed="81"/>
            <rFont val="Tahoma"/>
            <family val="2"/>
          </rPr>
          <t>HCTH03:</t>
        </r>
        <r>
          <rPr>
            <sz val="9"/>
            <color indexed="81"/>
            <rFont val="Tahoma"/>
            <family val="2"/>
          </rPr>
          <t xml:space="preserve">
Chỉ tính hệ số đối với công việc mục b,c</t>
        </r>
      </text>
    </comment>
    <comment ref="H314" authorId="0">
      <text>
        <r>
          <rPr>
            <b/>
            <sz val="9"/>
            <color indexed="81"/>
            <rFont val="Tahoma"/>
            <family val="2"/>
          </rPr>
          <t>HCTH03:</t>
        </r>
        <r>
          <rPr>
            <sz val="9"/>
            <color indexed="81"/>
            <rFont val="Tahoma"/>
            <family val="2"/>
          </rPr>
          <t xml:space="preserve">
Chỉ tính hệ số đối với công việc mục b,c</t>
        </r>
      </text>
    </comment>
    <comment ref="H321" authorId="0">
      <text>
        <r>
          <rPr>
            <b/>
            <sz val="9"/>
            <color indexed="81"/>
            <rFont val="Tahoma"/>
            <family val="2"/>
          </rPr>
          <t>HCTH03:</t>
        </r>
        <r>
          <rPr>
            <sz val="9"/>
            <color indexed="81"/>
            <rFont val="Tahoma"/>
            <family val="2"/>
          </rPr>
          <t xml:space="preserve">
Chỉ tính hệ số đối với công việc mục b,c</t>
        </r>
      </text>
    </comment>
    <comment ref="H336" authorId="0">
      <text>
        <r>
          <rPr>
            <b/>
            <sz val="9"/>
            <color indexed="81"/>
            <rFont val="Tahoma"/>
            <family val="2"/>
          </rPr>
          <t>HCTH03:</t>
        </r>
        <r>
          <rPr>
            <sz val="9"/>
            <color indexed="81"/>
            <rFont val="Tahoma"/>
            <family val="2"/>
          </rPr>
          <t xml:space="preserve">
Chỉ tính hệ số đối với công việc mục b,c</t>
        </r>
      </text>
    </comment>
    <comment ref="H343" authorId="0">
      <text>
        <r>
          <rPr>
            <b/>
            <sz val="9"/>
            <color indexed="81"/>
            <rFont val="Tahoma"/>
            <family val="2"/>
          </rPr>
          <t>HCTH03:</t>
        </r>
        <r>
          <rPr>
            <sz val="9"/>
            <color indexed="81"/>
            <rFont val="Tahoma"/>
            <family val="2"/>
          </rPr>
          <t xml:space="preserve">
Chỉ tính hệ số đối với công việc mục b,c</t>
        </r>
      </text>
    </comment>
    <comment ref="H350" authorId="0">
      <text>
        <r>
          <rPr>
            <b/>
            <sz val="9"/>
            <color indexed="81"/>
            <rFont val="Tahoma"/>
            <family val="2"/>
          </rPr>
          <t>HCTH03:</t>
        </r>
        <r>
          <rPr>
            <sz val="9"/>
            <color indexed="81"/>
            <rFont val="Tahoma"/>
            <family val="2"/>
          </rPr>
          <t xml:space="preserve">
Chỉ tính hệ số đối với công việc mục b,c</t>
        </r>
      </text>
    </comment>
    <comment ref="H357" authorId="0">
      <text>
        <r>
          <rPr>
            <b/>
            <sz val="9"/>
            <color indexed="81"/>
            <rFont val="Tahoma"/>
            <family val="2"/>
          </rPr>
          <t>HCTH03:</t>
        </r>
        <r>
          <rPr>
            <sz val="9"/>
            <color indexed="81"/>
            <rFont val="Tahoma"/>
            <family val="2"/>
          </rPr>
          <t xml:space="preserve">
Chỉ tính hệ số đối với công việc mục b,c</t>
        </r>
      </text>
    </comment>
    <comment ref="H364" authorId="0">
      <text>
        <r>
          <rPr>
            <b/>
            <sz val="9"/>
            <color indexed="81"/>
            <rFont val="Tahoma"/>
            <family val="2"/>
          </rPr>
          <t>HCTH03:</t>
        </r>
        <r>
          <rPr>
            <sz val="9"/>
            <color indexed="81"/>
            <rFont val="Tahoma"/>
            <family val="2"/>
          </rPr>
          <t xml:space="preserve">
Chỉ tính hệ số đối với công việc mục b,c</t>
        </r>
      </text>
    </comment>
    <comment ref="H409" authorId="0">
      <text>
        <r>
          <rPr>
            <b/>
            <sz val="9"/>
            <color indexed="81"/>
            <rFont val="Tahoma"/>
            <family val="2"/>
          </rPr>
          <t>HCTH03:</t>
        </r>
        <r>
          <rPr>
            <sz val="9"/>
            <color indexed="81"/>
            <rFont val="Tahoma"/>
            <family val="2"/>
          </rPr>
          <t xml:space="preserve">
Chỉ tính hệ số đối với công việc mục c</t>
        </r>
      </text>
    </comment>
    <comment ref="B452" authorId="0">
      <text>
        <r>
          <rPr>
            <b/>
            <sz val="9"/>
            <color indexed="81"/>
            <rFont val="Tahoma"/>
            <family val="2"/>
          </rPr>
          <t>HCTH03:</t>
        </r>
        <r>
          <rPr>
            <sz val="9"/>
            <color indexed="81"/>
            <rFont val="Tahoma"/>
            <family val="2"/>
          </rPr>
          <t xml:space="preserve">
Đã bổ sung thêm cung cấp tt ko thu phí</t>
        </r>
      </text>
    </comment>
  </commentList>
</comments>
</file>

<file path=xl/comments3.xml><?xml version="1.0" encoding="utf-8"?>
<comments xmlns="http://schemas.openxmlformats.org/spreadsheetml/2006/main">
  <authors>
    <author>HCTH03</author>
  </authors>
  <commentList>
    <comment ref="F240" authorId="0">
      <text>
        <r>
          <rPr>
            <b/>
            <sz val="9"/>
            <color indexed="81"/>
            <rFont val="Tahoma"/>
            <family val="2"/>
          </rPr>
          <t>HCTH03:</t>
        </r>
        <r>
          <rPr>
            <sz val="9"/>
            <color indexed="81"/>
            <rFont val="Tahoma"/>
            <family val="2"/>
          </rPr>
          <t xml:space="preserve">
Chỉ nhận hệ số với công việc mục b,c</t>
        </r>
      </text>
    </comment>
    <comment ref="F247" authorId="0">
      <text>
        <r>
          <rPr>
            <b/>
            <sz val="9"/>
            <color indexed="81"/>
            <rFont val="Tahoma"/>
            <family val="2"/>
          </rPr>
          <t>HCTH03:</t>
        </r>
        <r>
          <rPr>
            <sz val="9"/>
            <color indexed="81"/>
            <rFont val="Tahoma"/>
            <family val="2"/>
          </rPr>
          <t xml:space="preserve">
Chỉ nhận hệ số với công việc mục b,c</t>
        </r>
      </text>
    </comment>
    <comment ref="F254" authorId="0">
      <text>
        <r>
          <rPr>
            <b/>
            <sz val="9"/>
            <color indexed="81"/>
            <rFont val="Tahoma"/>
            <family val="2"/>
          </rPr>
          <t>HCTH03:</t>
        </r>
        <r>
          <rPr>
            <sz val="9"/>
            <color indexed="81"/>
            <rFont val="Tahoma"/>
            <family val="2"/>
          </rPr>
          <t xml:space="preserve">
Chỉ nhận hệ số với công việc mục b,c</t>
        </r>
      </text>
    </comment>
    <comment ref="F261" authorId="0">
      <text>
        <r>
          <rPr>
            <b/>
            <sz val="9"/>
            <color indexed="81"/>
            <rFont val="Tahoma"/>
            <family val="2"/>
          </rPr>
          <t>HCTH03:</t>
        </r>
        <r>
          <rPr>
            <sz val="9"/>
            <color indexed="81"/>
            <rFont val="Tahoma"/>
            <family val="2"/>
          </rPr>
          <t xml:space="preserve">
Chỉ nhận hệ số với công việc mục b,c</t>
        </r>
      </text>
    </comment>
    <comment ref="F268" authorId="0">
      <text>
        <r>
          <rPr>
            <b/>
            <sz val="9"/>
            <color indexed="81"/>
            <rFont val="Tahoma"/>
            <family val="2"/>
          </rPr>
          <t>HCTH03:</t>
        </r>
        <r>
          <rPr>
            <sz val="9"/>
            <color indexed="81"/>
            <rFont val="Tahoma"/>
            <family val="2"/>
          </rPr>
          <t xml:space="preserve">
Chỉ nhận hệ số với công việc mục b,c</t>
        </r>
      </text>
    </comment>
    <comment ref="F276" authorId="0">
      <text>
        <r>
          <rPr>
            <b/>
            <sz val="9"/>
            <color indexed="81"/>
            <rFont val="Tahoma"/>
            <family val="2"/>
          </rPr>
          <t>HCTH03:</t>
        </r>
        <r>
          <rPr>
            <sz val="9"/>
            <color indexed="81"/>
            <rFont val="Tahoma"/>
            <family val="2"/>
          </rPr>
          <t xml:space="preserve">
Chỉ nhận hệ số với công việc mục b,c</t>
        </r>
      </text>
    </comment>
    <comment ref="F283" authorId="0">
      <text>
        <r>
          <rPr>
            <b/>
            <sz val="9"/>
            <color indexed="81"/>
            <rFont val="Tahoma"/>
            <family val="2"/>
          </rPr>
          <t>HCTH03:</t>
        </r>
        <r>
          <rPr>
            <sz val="9"/>
            <color indexed="81"/>
            <rFont val="Tahoma"/>
            <family val="2"/>
          </rPr>
          <t xml:space="preserve">
Chỉ nhận hệ số với công việc mục b,c</t>
        </r>
      </text>
    </comment>
    <comment ref="F290" authorId="0">
      <text>
        <r>
          <rPr>
            <b/>
            <sz val="9"/>
            <color indexed="81"/>
            <rFont val="Tahoma"/>
            <family val="2"/>
          </rPr>
          <t>HCTH03:</t>
        </r>
        <r>
          <rPr>
            <sz val="9"/>
            <color indexed="81"/>
            <rFont val="Tahoma"/>
            <family val="2"/>
          </rPr>
          <t xml:space="preserve">
Chỉ nhận hệ số với công việc mục b,c</t>
        </r>
      </text>
    </comment>
    <comment ref="F297" authorId="0">
      <text>
        <r>
          <rPr>
            <b/>
            <sz val="9"/>
            <color indexed="81"/>
            <rFont val="Tahoma"/>
            <family val="2"/>
          </rPr>
          <t>HCTH03:</t>
        </r>
        <r>
          <rPr>
            <sz val="9"/>
            <color indexed="81"/>
            <rFont val="Tahoma"/>
            <family val="2"/>
          </rPr>
          <t xml:space="preserve">
Chỉ nhận hệ số với công việc mục b,c</t>
        </r>
      </text>
    </comment>
    <comment ref="F304" authorId="0">
      <text>
        <r>
          <rPr>
            <b/>
            <sz val="9"/>
            <color indexed="81"/>
            <rFont val="Tahoma"/>
            <family val="2"/>
          </rPr>
          <t>HCTH03:</t>
        </r>
        <r>
          <rPr>
            <sz val="9"/>
            <color indexed="81"/>
            <rFont val="Tahoma"/>
            <family val="2"/>
          </rPr>
          <t xml:space="preserve">
Chỉ nhận hệ số với công việc mục b,c</t>
        </r>
      </text>
    </comment>
    <comment ref="F311" authorId="0">
      <text>
        <r>
          <rPr>
            <b/>
            <sz val="9"/>
            <color indexed="81"/>
            <rFont val="Tahoma"/>
            <family val="2"/>
          </rPr>
          <t>HCTH03:</t>
        </r>
        <r>
          <rPr>
            <sz val="9"/>
            <color indexed="81"/>
            <rFont val="Tahoma"/>
            <family val="2"/>
          </rPr>
          <t xml:space="preserve">
Chỉ nhận hệ số với công việc mục b,c</t>
        </r>
      </text>
    </comment>
    <comment ref="B364" authorId="0">
      <text>
        <r>
          <rPr>
            <b/>
            <sz val="9"/>
            <color indexed="81"/>
            <rFont val="Tahoma"/>
            <family val="2"/>
          </rPr>
          <t>HCTH03:</t>
        </r>
        <r>
          <rPr>
            <sz val="9"/>
            <color indexed="81"/>
            <rFont val="Tahoma"/>
            <family val="2"/>
          </rPr>
          <t xml:space="preserve">
Đã bổ sung thêm cung cấp tt ko thu phí</t>
        </r>
      </text>
    </comment>
  </commentList>
</comments>
</file>

<file path=xl/comments4.xml><?xml version="1.0" encoding="utf-8"?>
<comments xmlns="http://schemas.openxmlformats.org/spreadsheetml/2006/main">
  <authors>
    <author>HCTH03</author>
  </authors>
  <commentList>
    <comment ref="B297" authorId="0">
      <text>
        <r>
          <rPr>
            <b/>
            <sz val="9"/>
            <color indexed="81"/>
            <rFont val="Tahoma"/>
            <family val="2"/>
          </rPr>
          <t>HCTH03:</t>
        </r>
        <r>
          <rPr>
            <sz val="9"/>
            <color indexed="81"/>
            <rFont val="Tahoma"/>
            <family val="2"/>
          </rPr>
          <t xml:space="preserve">
Đã bổ sung thêm cung cấp tt ko thu phí</t>
        </r>
      </text>
    </comment>
  </commentList>
</comments>
</file>

<file path=xl/comments5.xml><?xml version="1.0" encoding="utf-8"?>
<comments xmlns="http://schemas.openxmlformats.org/spreadsheetml/2006/main">
  <authors>
    <author>HCTH03</author>
  </authors>
  <commentList>
    <comment ref="B342" authorId="0">
      <text>
        <r>
          <rPr>
            <b/>
            <sz val="9"/>
            <color indexed="81"/>
            <rFont val="Tahoma"/>
            <family val="2"/>
          </rPr>
          <t>HCTH03:</t>
        </r>
        <r>
          <rPr>
            <sz val="9"/>
            <color indexed="81"/>
            <rFont val="Tahoma"/>
            <family val="2"/>
          </rPr>
          <t xml:space="preserve">
Đã bổ sung thêm cung cấp tt ko thu phí</t>
        </r>
      </text>
    </comment>
  </commentList>
</comments>
</file>

<file path=xl/comments6.xml><?xml version="1.0" encoding="utf-8"?>
<comments xmlns="http://schemas.openxmlformats.org/spreadsheetml/2006/main">
  <authors>
    <author>HCTH03</author>
  </authors>
  <commentList>
    <comment ref="B98" authorId="0">
      <text>
        <r>
          <rPr>
            <b/>
            <sz val="9"/>
            <color indexed="81"/>
            <rFont val="Tahoma"/>
            <family val="2"/>
          </rPr>
          <t>HCTH03:</t>
        </r>
        <r>
          <rPr>
            <sz val="9"/>
            <color indexed="81"/>
            <rFont val="Tahoma"/>
            <family val="2"/>
          </rPr>
          <t xml:space="preserve">
Đã bổ sung thêm cung cấp tt ko thu phí</t>
        </r>
      </text>
    </comment>
  </commentList>
</comments>
</file>

<file path=xl/comments7.xml><?xml version="1.0" encoding="utf-8"?>
<comments xmlns="http://schemas.openxmlformats.org/spreadsheetml/2006/main">
  <authors>
    <author>HCTH03</author>
  </authors>
  <commentList>
    <comment ref="E5" authorId="0">
      <text>
        <r>
          <rPr>
            <b/>
            <sz val="9"/>
            <color indexed="81"/>
            <rFont val="Tahoma"/>
            <family val="2"/>
          </rPr>
          <t>HCTH03:</t>
        </r>
        <r>
          <rPr>
            <sz val="9"/>
            <color indexed="81"/>
            <rFont val="Tahoma"/>
            <family val="2"/>
          </rPr>
          <t xml:space="preserve">
Thông tư 45/2018/TT-BTC ngày 07 tháng 5 năm 2018 </t>
        </r>
      </text>
    </comment>
  </commentList>
</comments>
</file>

<file path=xl/sharedStrings.xml><?xml version="1.0" encoding="utf-8"?>
<sst xmlns="http://schemas.openxmlformats.org/spreadsheetml/2006/main" count="7566" uniqueCount="665">
  <si>
    <t>Phụ lục I</t>
  </si>
  <si>
    <t>ĐVT: đồng</t>
  </si>
  <si>
    <t>STT</t>
  </si>
  <si>
    <t>Tên  sản  phẩm</t>
  </si>
  <si>
    <t>Đơn
vị
tính</t>
  </si>
  <si>
    <t>Chi  phí  trực  tiếp</t>
  </si>
  <si>
    <t>Đơn giá 
sản phẩm</t>
  </si>
  <si>
    <t>Nhân 
công</t>
  </si>
  <si>
    <t xml:space="preserve"> Vật
liệu</t>
  </si>
  <si>
    <t>Điện
năng</t>
  </si>
  <si>
    <t>Tổng CP trực tiếp</t>
  </si>
  <si>
    <t>A</t>
  </si>
  <si>
    <t>B</t>
  </si>
  <si>
    <t>C</t>
  </si>
  <si>
    <t>6=1+...+5</t>
  </si>
  <si>
    <t>Thu thập thông tin, dữ liệu TNMT</t>
  </si>
  <si>
    <t>Thu thập nội dung thông tin,dữ liệu</t>
  </si>
  <si>
    <t>Nhập, đối soát dữ liệu đặc tả về thông tin, dữ liệu</t>
  </si>
  <si>
    <t>Nhập, đối soát danh mục thông tin, dữ liệu</t>
  </si>
  <si>
    <t>Công bố danh mục, dữ liệu đặc tả về thông tin, dữ liệu TNMT lên Trang/Cổng thông tin điện tử</t>
  </si>
  <si>
    <t>Tiếp nhận thông tin, dữ liệu TNMT</t>
  </si>
  <si>
    <t>Tiếp nhận thông tin, tài liệu lưu trữ</t>
  </si>
  <si>
    <t>Kiểm tra thông tin, tài liệu</t>
  </si>
  <si>
    <t>Lập Biên bản giao nhận thông tin, tài liệu</t>
  </si>
  <si>
    <t>Vận chuyển tài liệu vào kho lưu trữ</t>
  </si>
  <si>
    <t>I</t>
  </si>
  <si>
    <t>II</t>
  </si>
  <si>
    <t>LƯU TRỮ VÀ BẢO QUẢN THÔNG TIN, TÀI LIỆU TNMT</t>
  </si>
  <si>
    <t>Chỉnh lý tài liệu lưu trữ dạng giấy</t>
  </si>
  <si>
    <t>Lập kế hoạch chỉnh lý và soạn thảo các văn bản hướng dẫn nghiệp vụ chỉnh lý tài liệu</t>
  </si>
  <si>
    <t>Giao nhận tài liệu, vận chuyển đến địa điểm chỉnh lý, vệ sinh sơ bộ tài liệu</t>
  </si>
  <si>
    <t>Phân loại tài liệu</t>
  </si>
  <si>
    <t>Lập hồ sơ hoặc chỉnh sửa, hoàn thiện hồ sơ</t>
  </si>
  <si>
    <t>Biên mục phiếu tin</t>
  </si>
  <si>
    <t>Kiểm tra, chỉnh sửa việc lập hồ sơ và biên mục phiếu tin</t>
  </si>
  <si>
    <t>Hệ thống hóa phiếu tin theo hướng dẫn phân loại và hệ thống hóa hồ sơ theo phiếu tin</t>
  </si>
  <si>
    <t>Biên mục hồ sơ</t>
  </si>
  <si>
    <t>Kiểm tra, chỉnh sửa việc biên mục hồ sơ</t>
  </si>
  <si>
    <t>Vệ sinh, tháo bỏ ghim kẹp, làm phẳng tài liệu và đưa tài liệu vào bìa hồ sơ; đánh số chính thức lên bìa hồ sơ</t>
  </si>
  <si>
    <t>Sắp xếp hồ sơ vào hộp (cặp), làm nhãn hộp (cặp);</t>
  </si>
  <si>
    <t>Vận chuyển tài liệu vào kho, xếp lên giá và bàn giao tài liệu sau chỉnh lý</t>
  </si>
  <si>
    <t>Hoàn chỉnh, bàn giao hồ sơ phông và lập Báo cáo kết quả chỉnh lý</t>
  </si>
  <si>
    <t>Tổ chức, lưu trữ tài liệu số</t>
  </si>
  <si>
    <t>Gán mã, làm nhãn trên phương tiện lưu trữ đã tiếp nhận</t>
  </si>
  <si>
    <t>Chuyển dữ liệu số vào thiết bị lưu trữ và thực hiện phân loại tài liệu kết hợp xác định giá trị tài liệu và thời hạn bảo quản</t>
  </si>
  <si>
    <t>Biên mục, nhập nội dung dữ liệu đặc tả</t>
  </si>
  <si>
    <t>Sắp xếp phương tiện lưu trữ vào tủ chuyên dụng</t>
  </si>
  <si>
    <t>Lập báo cáo tổ chức, lưu trữ tài liệu số</t>
  </si>
  <si>
    <t>Bảo quản kho lưu trữ tài liệu</t>
  </si>
  <si>
    <t>Báo cáo tình hình bảo quản kho lưu trữ</t>
  </si>
  <si>
    <t>Bảo quản tài liệu lưu trữ dạng giấy</t>
  </si>
  <si>
    <t>Ghi Nhật ký bảo quản tài liệu lưu trữ</t>
  </si>
  <si>
    <t>Khoản 4 Chương 1 Phần 3 Thông tư số 26/2014/TT-BTNMT ngày 28 tháng 5 năm 2014</t>
  </si>
  <si>
    <t>Ghi chú</t>
  </si>
  <si>
    <t>Không tính định mức</t>
  </si>
  <si>
    <t>BẢNG THUYẾT MINH ĐƠN GIÁ THU NHẬN, LƯU TRỮ, BẢO QUẢN VÀ CUNG CẤP THÔNG TIN, DỮ LIỆU TÀI NGUYÊN VÀ MÔI TRƯỜNG</t>
  </si>
  <si>
    <t>BẢNG TÍNH ĐƠN GIÁ DỤNG CỤ</t>
  </si>
  <si>
    <t>Bảo quản tài liệu số</t>
  </si>
  <si>
    <t>Vệ sinh phương tiện lưu trữ tài liệu số</t>
  </si>
  <si>
    <t>Kiểm tra định kỳ tài liệu số trên phương tiện lưu trữ</t>
  </si>
  <si>
    <t>Sao lưu tài liệu trên phương tiện lưu trữ</t>
  </si>
  <si>
    <t>Phục hồi tài liệu trên phương tiện lưu trữ</t>
  </si>
  <si>
    <t>Ghi nhật ký bảo quản tài liệu số</t>
  </si>
  <si>
    <t>Tu bổ, phục chế tài liệu lưu trữ dạng giấy</t>
  </si>
  <si>
    <t>Lập danh mục tài liệu cần tu bổ, phục chế; bàn giao, vận chuyển tài liệu tới địa điểm thực hiện; vệ sinh tài liệu</t>
  </si>
  <si>
    <t>Tu bổ, phục chế bằng biện pháp vá, dán</t>
  </si>
  <si>
    <t>Tu bổ, phục chế bằng bằng biện pháp tu bổ, bồi nền</t>
  </si>
  <si>
    <t>Kiểm tra, đánh giá chất lượng</t>
  </si>
  <si>
    <t>Bàn giao, xếp tài liệu lên giá, ngăn theo vị trí ban đầu</t>
  </si>
  <si>
    <t xml:space="preserve">Lập báo cáo kết quả tu bổ, phục chế tài liệu </t>
  </si>
  <si>
    <t>Xây dựng cơ sở dữ liệu tài liệu lưu trữ điện tử</t>
  </si>
  <si>
    <t>Lập kế hoạch, tiếp nhận, vận chuyển tài liệu đến địa điểm thực hiện số hóa, vệ sinh tài liệu</t>
  </si>
  <si>
    <t xml:space="preserve">Số hóa tài liệu </t>
  </si>
  <si>
    <t xml:space="preserve">Ký, xác thực tài liệu bằng chữ ký số </t>
  </si>
  <si>
    <t xml:space="preserve">Tạo lập, cập nhật dữ liệu đặc tả tài liệu số hóa </t>
  </si>
  <si>
    <t>Cập nhật tài liệu số hóa vào cơ sở dữ liệu tài liệu lưu trữ điện tử</t>
  </si>
  <si>
    <t>Đóng gói, bàn giao, xếp tài liệu giấy lên giá theo vị trí lưu trữ ban đầu</t>
  </si>
  <si>
    <t>Tiêu hủy tài liệu hết giá trị</t>
  </si>
  <si>
    <t>Lập hồ sơ xét hủy tài liệu hết giá trị sử dụng</t>
  </si>
  <si>
    <t>Trình xét duyệt, thẩm tra, ra quyết định tiêu hủy tài liệu hết giá trị sử dụng</t>
  </si>
  <si>
    <t>Tổ chức tiêu hủy tài liệu hết giá trị sử dụng: tiêu hủy tài liệu giấy và các vật mang tin; xóa (hủy) tài liệu số trên các thiết bị lưu trữ</t>
  </si>
  <si>
    <t xml:space="preserve">Lập biên bản và lưu hồ sơ tiêu hủy tài liệu hết giá trị sử dụng </t>
  </si>
  <si>
    <t>III</t>
  </si>
  <si>
    <t>THU NHẬN THÔNG TIN, DỮ LIỆU TNMT</t>
  </si>
  <si>
    <t>CUNG CẤP THÔNG TIN, DỮ LIỆU TNMT</t>
  </si>
  <si>
    <t>Tiếp nhận yêu cầu và lập hồ sơ cung cấp thông tin, tài liệu</t>
  </si>
  <si>
    <t>Chuẩn bị thông tin, tài liệu theo yêu cầu</t>
  </si>
  <si>
    <t>Bàn giao tài liệu cho người sử dụng</t>
  </si>
  <si>
    <t xml:space="preserve">Tổng hợp, báo cáo tình hình cung cấp thông tin, tài liệu </t>
  </si>
  <si>
    <t>-</t>
  </si>
  <si>
    <t>Tài liệu bản đồ, tài liệu thông tin địa lý</t>
  </si>
  <si>
    <t>Tài liệu khác</t>
  </si>
  <si>
    <t>Trích xuất, tổng hợp thông tin từ tài liệu lưu trữ</t>
  </si>
  <si>
    <t>Cung cấp theo hình thức trực tiếp tài liệu dạng giấy</t>
  </si>
  <si>
    <t>Cung cấp theo hình thức trực tiếp tài liệu dạng số</t>
  </si>
  <si>
    <t xml:space="preserve">Cung cấp thông tin, tài liệu qua đường bưu chính, hệ thống thông tin </t>
  </si>
  <si>
    <t>TT</t>
  </si>
  <si>
    <t>Vật liệu</t>
  </si>
  <si>
    <t>ĐVT</t>
  </si>
  <si>
    <t>Giấy A4</t>
  </si>
  <si>
    <t>Gram</t>
  </si>
  <si>
    <t>Sổ công tác</t>
  </si>
  <si>
    <t>Quyển</t>
  </si>
  <si>
    <t>Ghim kẹp</t>
  </si>
  <si>
    <t>Hộp</t>
  </si>
  <si>
    <t>Ghim dập</t>
  </si>
  <si>
    <t>Cặp tài liệu</t>
  </si>
  <si>
    <t>Cái</t>
  </si>
  <si>
    <t>Đĩa DVD</t>
  </si>
  <si>
    <t>Bút bi</t>
  </si>
  <si>
    <t>Đơn giá</t>
  </si>
  <si>
    <t>Thành tiền</t>
  </si>
  <si>
    <t>3=1*2</t>
  </si>
  <si>
    <t>Định mức 
(ca/trường dữ liệu)</t>
  </si>
  <si>
    <t>I.1</t>
  </si>
  <si>
    <t>I.1.a</t>
  </si>
  <si>
    <t>I.1.b</t>
  </si>
  <si>
    <t>I.1.c</t>
  </si>
  <si>
    <t>I.1.d</t>
  </si>
  <si>
    <t>I.2</t>
  </si>
  <si>
    <t>I.2.a</t>
  </si>
  <si>
    <t>I.2.b</t>
  </si>
  <si>
    <t>I.2.c</t>
  </si>
  <si>
    <t>I.2.d</t>
  </si>
  <si>
    <t>II.1</t>
  </si>
  <si>
    <t>II.1.a</t>
  </si>
  <si>
    <t>II.1.b</t>
  </si>
  <si>
    <t>II.1.c</t>
  </si>
  <si>
    <t>II.1.d</t>
  </si>
  <si>
    <t>II.1.đ</t>
  </si>
  <si>
    <t>II.1.e</t>
  </si>
  <si>
    <t>II.1.g</t>
  </si>
  <si>
    <t>II.1.h</t>
  </si>
  <si>
    <t>II.1.i</t>
  </si>
  <si>
    <t>II.1.k</t>
  </si>
  <si>
    <t>II.1.l</t>
  </si>
  <si>
    <t>II.1.m</t>
  </si>
  <si>
    <t>II.1.n</t>
  </si>
  <si>
    <t>II.2</t>
  </si>
  <si>
    <t>II.2.a</t>
  </si>
  <si>
    <t>II.2.b</t>
  </si>
  <si>
    <t>II.2.c</t>
  </si>
  <si>
    <t>II.2.d</t>
  </si>
  <si>
    <t>II.2.đ</t>
  </si>
  <si>
    <t>II.3</t>
  </si>
  <si>
    <t>II.3.a</t>
  </si>
  <si>
    <t>II.3.b</t>
  </si>
  <si>
    <t>II.4.a</t>
  </si>
  <si>
    <t>II.4.b</t>
  </si>
  <si>
    <t>II.5.a</t>
  </si>
  <si>
    <t>II.5.b</t>
  </si>
  <si>
    <t>II.5.c</t>
  </si>
  <si>
    <t>II.5.d</t>
  </si>
  <si>
    <t>II.5.đ</t>
  </si>
  <si>
    <t>II.6.a</t>
  </si>
  <si>
    <t>II.6.b</t>
  </si>
  <si>
    <t>II.6.c</t>
  </si>
  <si>
    <t>II.6.d</t>
  </si>
  <si>
    <t>II.6.đ</t>
  </si>
  <si>
    <t>II.6.e</t>
  </si>
  <si>
    <t>II.6</t>
  </si>
  <si>
    <t>II.5</t>
  </si>
  <si>
    <t>II.7.a</t>
  </si>
  <si>
    <t>II.7.b</t>
  </si>
  <si>
    <t>II.7.c</t>
  </si>
  <si>
    <t>II.7.d</t>
  </si>
  <si>
    <t>II.7.đ</t>
  </si>
  <si>
    <t>II.7.e</t>
  </si>
  <si>
    <t>II.7</t>
  </si>
  <si>
    <t>II.8.a</t>
  </si>
  <si>
    <t>II.8.b</t>
  </si>
  <si>
    <t>II.8.c</t>
  </si>
  <si>
    <t>II.8.d</t>
  </si>
  <si>
    <t>II.8</t>
  </si>
  <si>
    <t>III.1</t>
  </si>
  <si>
    <t>III.1.a</t>
  </si>
  <si>
    <t>III.1.b</t>
  </si>
  <si>
    <t>III.2</t>
  </si>
  <si>
    <t>III.2.a</t>
  </si>
  <si>
    <t>III.2.b</t>
  </si>
  <si>
    <t>III.1.c</t>
  </si>
  <si>
    <t>III.1.d</t>
  </si>
  <si>
    <t>III.2.c</t>
  </si>
  <si>
    <t>III.2.d</t>
  </si>
  <si>
    <t>III.3</t>
  </si>
  <si>
    <t>III.3.a</t>
  </si>
  <si>
    <t>III.3.b</t>
  </si>
  <si>
    <t>III.3.c</t>
  </si>
  <si>
    <t>III.3.d</t>
  </si>
  <si>
    <t>Phụ lục I.1</t>
  </si>
  <si>
    <t>Phụ lục I.2</t>
  </si>
  <si>
    <t>Công suất</t>
  </si>
  <si>
    <t>Máy điều hòa nhiệt độ 12.000 BTU</t>
  </si>
  <si>
    <t>Máy vi tính PC</t>
  </si>
  <si>
    <t>BẢNG TÍNH ĐƠN GIÁ THIẾT BỊ</t>
  </si>
  <si>
    <t>Nguyên giá</t>
  </si>
  <si>
    <t>Khấu hao</t>
  </si>
  <si>
    <t>Điện năng</t>
  </si>
  <si>
    <t>Quạt trần 0,1 kW</t>
  </si>
  <si>
    <t>Bộ đèn neon 0,04 kW</t>
  </si>
  <si>
    <t>Bộ</t>
  </si>
  <si>
    <t>Ghế tựa</t>
  </si>
  <si>
    <t>Bàn làm việc</t>
  </si>
  <si>
    <t>Bàn dập ghim loại nhỏ</t>
  </si>
  <si>
    <t>Ổ ghi đĩa quang</t>
  </si>
  <si>
    <t>BẢNG TÍNH ĐƠN GIÁ ĐIỆN NĂNG</t>
  </si>
  <si>
    <t>BẢNG TÍNH ĐƠN GIÁ VẬT LIỆU</t>
  </si>
  <si>
    <t>Quạt trần 0,1kW</t>
  </si>
  <si>
    <t>Hao phí trên đường dây</t>
  </si>
  <si>
    <t>%</t>
  </si>
  <si>
    <t>Mức tiêu hao</t>
  </si>
  <si>
    <t>Mức</t>
  </si>
  <si>
    <t>Thời gian (năm)</t>
  </si>
  <si>
    <t>6=5*2</t>
  </si>
  <si>
    <t>Đơn giá/ ca</t>
  </si>
  <si>
    <t>Thời hạn 
(tháng)</t>
  </si>
  <si>
    <t>5=2*4</t>
  </si>
  <si>
    <t>4=3/1/26 ngày</t>
  </si>
  <si>
    <t>5=4/3/500 ca</t>
  </si>
  <si>
    <t>Bảng 03</t>
  </si>
  <si>
    <t>Bảng 04</t>
  </si>
  <si>
    <t>Bảng 05</t>
  </si>
  <si>
    <t>Bảng 06</t>
  </si>
  <si>
    <t>Thiết bị khác</t>
  </si>
  <si>
    <t>Nhập dữ liệu có cấu trúc cho đối tượng phi không gian</t>
  </si>
  <si>
    <t>Nhập dữ liệu có cấu trúc cho đối tượng không gian</t>
  </si>
  <si>
    <t>Đối soát dữ liệu có cấu trúc đã nhập cho đối tượng phi không gian</t>
  </si>
  <si>
    <t>Đối soát dữ liệu phi cấu trúc đã nhập cho đối tượng không gian</t>
  </si>
  <si>
    <t>KK1</t>
  </si>
  <si>
    <t>KK2</t>
  </si>
  <si>
    <t>KK3</t>
  </si>
  <si>
    <t>Mức (ca/trường)</t>
  </si>
  <si>
    <t>Nhập dữ liệu phi cấu trúc cho đối tượng phi không gian</t>
  </si>
  <si>
    <t>Nhập dữ liệu phi cấu trúc cho đối tượng không gian</t>
  </si>
  <si>
    <t>Đối soát dữ liệu phi cấu trúc đã nhập cho đối tượng phi không gian</t>
  </si>
  <si>
    <t xml:space="preserve">Khoản 4 Chương 1 Phần 3 Thông tư số 26/2014/TT-BTNMT ngày 28 tháng 5 năm 2014 </t>
  </si>
  <si>
    <t>Máy in A4</t>
  </si>
  <si>
    <t>Bảng 09</t>
  </si>
  <si>
    <t>Bảng 10</t>
  </si>
  <si>
    <t>Quần áo BHLĐ</t>
  </si>
  <si>
    <t>Quạt thông gió 0,04kW</t>
  </si>
  <si>
    <t>Máy hút bụi 2 kW</t>
  </si>
  <si>
    <t>Xe đẩy</t>
  </si>
  <si>
    <t>Mực in A4</t>
  </si>
  <si>
    <t>Túi clear A4</t>
  </si>
  <si>
    <t>Bộ đèn neon 0,04 Kw</t>
  </si>
  <si>
    <t>Bảng 12</t>
  </si>
  <si>
    <t>Bảng 11</t>
  </si>
  <si>
    <t>Ca/mét giá</t>
  </si>
  <si>
    <t>Bảng 15</t>
  </si>
  <si>
    <t>Giá để tài liệu</t>
  </si>
  <si>
    <t>Máy hút ẩm 1,5kW</t>
  </si>
  <si>
    <t>Bảng 16</t>
  </si>
  <si>
    <t>Bút xóa</t>
  </si>
  <si>
    <t>Ghim vòng</t>
  </si>
  <si>
    <t>Bìa hồ sơ</t>
  </si>
  <si>
    <t>Tờ</t>
  </si>
  <si>
    <t>Bút chì</t>
  </si>
  <si>
    <t>Tẩy chì</t>
  </si>
  <si>
    <t>Hộp đựng tài liệu</t>
  </si>
  <si>
    <t>Hồ dán</t>
  </si>
  <si>
    <t>Lọ</t>
  </si>
  <si>
    <t>Bảng 17</t>
  </si>
  <si>
    <t>Quạt thông gió 0,04 kW</t>
  </si>
  <si>
    <t>Bảng 18</t>
  </si>
  <si>
    <t>Ca/phương tiện lưu trữ</t>
  </si>
  <si>
    <t>Bộ máy chủ lưu trữ số liệu</t>
  </si>
  <si>
    <t>Ca/1GB</t>
  </si>
  <si>
    <t>BẢNG THUYẾT MINH ĐƠN GIÁ NHẬP, ĐỐI SOÁT DỮ LIỆU THEO THÔNG TƯ SỐ 26/2014/TT-BTNMT</t>
  </si>
  <si>
    <t>Tủ đựng dụng cụ</t>
  </si>
  <si>
    <t>Bảng 23</t>
  </si>
  <si>
    <t>Bảng 24</t>
  </si>
  <si>
    <t>Kho chuyên dụng</t>
  </si>
  <si>
    <t>Kho thông thường</t>
  </si>
  <si>
    <t>Kho tạm</t>
  </si>
  <si>
    <t>Bảng 28</t>
  </si>
  <si>
    <t>Găng tay BHLĐ</t>
  </si>
  <si>
    <t>Đôi</t>
  </si>
  <si>
    <t>Khẩu trang</t>
  </si>
  <si>
    <t>Thang nhôm</t>
  </si>
  <si>
    <t>Nhiệt kế</t>
  </si>
  <si>
    <t>Ẩm kế</t>
  </si>
  <si>
    <t>Cây lau nhà</t>
  </si>
  <si>
    <t>Ca/báo cáo</t>
  </si>
  <si>
    <t>Khăn lau</t>
  </si>
  <si>
    <t>Thuốc tẩy rửa</t>
  </si>
  <si>
    <t>Lít</t>
  </si>
  <si>
    <t>Thuốc diệt mối</t>
  </si>
  <si>
    <t>Kg</t>
  </si>
  <si>
    <t>Thuốc diệt côn trùng</t>
  </si>
  <si>
    <t>Thuốc diệt vi sinh vật</t>
  </si>
  <si>
    <t>Tính cho 01 báo cáo</t>
  </si>
  <si>
    <t>Bảng 30</t>
  </si>
  <si>
    <t>Bảng 29</t>
  </si>
  <si>
    <t>Bảng 34</t>
  </si>
  <si>
    <t>Xà phòng</t>
  </si>
  <si>
    <t>II.4</t>
  </si>
  <si>
    <t>Bảng 35</t>
  </si>
  <si>
    <t>Bảng 36</t>
  </si>
  <si>
    <t>Áp dụng mức II.2.b Chuyển dữ liệu số vào thiết bị lưu trữ và thực hiện phân loại tài liệu kết hợp xác định giá trị tài liệu và thời hạn bảo quản</t>
  </si>
  <si>
    <t>Công nhóm/mét giá</t>
  </si>
  <si>
    <t>Ca/lần</t>
  </si>
  <si>
    <t>Ca/ phương tiện lưu trữ</t>
  </si>
  <si>
    <t>Bông lau</t>
  </si>
  <si>
    <t>Ca/tờ A4</t>
  </si>
  <si>
    <t>Con lăn</t>
  </si>
  <si>
    <t>Bàn kính can vẽ</t>
  </si>
  <si>
    <t>Xô nhựa 10l</t>
  </si>
  <si>
    <t>Bảng 48</t>
  </si>
  <si>
    <t>Chổi lông</t>
  </si>
  <si>
    <t>Giấy dó</t>
  </si>
  <si>
    <t>m2</t>
  </si>
  <si>
    <t>Vải màn</t>
  </si>
  <si>
    <t>Mét</t>
  </si>
  <si>
    <t>Keo dán (hồ dán) bồi giấy chuyên dùng</t>
  </si>
  <si>
    <t>Gam</t>
  </si>
  <si>
    <t>Bảng 49</t>
  </si>
  <si>
    <t xml:space="preserve">Bằng mức Thu thập nội dung thông tin, dữ liệu và Nhập, đối soát dữ liệu đặc tả về thông tin, dữ liệu </t>
  </si>
  <si>
    <t>Bảng 52</t>
  </si>
  <si>
    <t>Bảng 53</t>
  </si>
  <si>
    <t>Bảng 54</t>
  </si>
  <si>
    <t>Bảng 55</t>
  </si>
  <si>
    <t>Ca/trường dữ liệu</t>
  </si>
  <si>
    <t>Ca/trang A4</t>
  </si>
  <si>
    <t>Máy tính để bàn</t>
  </si>
  <si>
    <t>Máy scan</t>
  </si>
  <si>
    <t>Quét tài liệu</t>
  </si>
  <si>
    <t>Bằng mức Thu thập nội dung thông tin, dữ liệu và Nhập, đối soát dữ liệu đặc tả về thông tin, dữ liệu (I.1.a + I.1.b)</t>
  </si>
  <si>
    <t xml:space="preserve">Định mức công việc Báo cáo tình hình bảo quản kho lưu trữ II.3.b </t>
  </si>
  <si>
    <t>Bảng 59</t>
  </si>
  <si>
    <t>1,12</t>
  </si>
  <si>
    <t>0,19</t>
  </si>
  <si>
    <t>Máy hủy tài liệu</t>
  </si>
  <si>
    <t>0,21</t>
  </si>
  <si>
    <t>0,08</t>
  </si>
  <si>
    <t>Bảng 60</t>
  </si>
  <si>
    <t>0,06080</t>
  </si>
  <si>
    <t>0,35840</t>
  </si>
  <si>
    <t>0,10496</t>
  </si>
  <si>
    <t>Bảng 61</t>
  </si>
  <si>
    <t>2,20</t>
  </si>
  <si>
    <t>0,011</t>
  </si>
  <si>
    <t>0,40</t>
  </si>
  <si>
    <t>0,003</t>
  </si>
  <si>
    <t>0,000034</t>
  </si>
  <si>
    <t>0,00001</t>
  </si>
  <si>
    <t>Bảng 64</t>
  </si>
  <si>
    <t>Bảng 65</t>
  </si>
  <si>
    <t>Bảng 66</t>
  </si>
  <si>
    <t>0,064</t>
  </si>
  <si>
    <t>0,058</t>
  </si>
  <si>
    <t>0,010</t>
  </si>
  <si>
    <t>0,000048</t>
  </si>
  <si>
    <t>0,000200</t>
  </si>
  <si>
    <t>Bảng 67</t>
  </si>
  <si>
    <t>Ca/mảnh</t>
  </si>
  <si>
    <t>0,19360</t>
  </si>
  <si>
    <t>0,00960</t>
  </si>
  <si>
    <t>0,00880</t>
  </si>
  <si>
    <t>0,00352</t>
  </si>
  <si>
    <t>0,02048</t>
  </si>
  <si>
    <t>0,01180</t>
  </si>
  <si>
    <t>0,176000</t>
  </si>
  <si>
    <t>0,009600</t>
  </si>
  <si>
    <t>0,008000</t>
  </si>
  <si>
    <t>0,003200</t>
  </si>
  <si>
    <t>0,018560</t>
  </si>
  <si>
    <t>0,010768</t>
  </si>
  <si>
    <t>Máy điều hòa nhiệt độ 12000 BTU</t>
  </si>
  <si>
    <t>0,0005984</t>
  </si>
  <si>
    <t>0,0000320</t>
  </si>
  <si>
    <t>0,0000384</t>
  </si>
  <si>
    <t>0,0000109</t>
  </si>
  <si>
    <t>0,0000345</t>
  </si>
  <si>
    <t>Phụ lục I.1a</t>
  </si>
  <si>
    <t>DANH  MỤC  CÔNG  VIỆC</t>
  </si>
  <si>
    <t>Lương BQ</t>
  </si>
  <si>
    <t>Nhóm</t>
  </si>
  <si>
    <t>Hệ số</t>
  </si>
  <si>
    <t>ngày/nhóm</t>
  </si>
  <si>
    <t>Phụ lục I.3</t>
  </si>
  <si>
    <t>Phụ lục I.4</t>
  </si>
  <si>
    <t>Phụ lục I.5</t>
  </si>
  <si>
    <t>BHXH, YT,
TN &amp; KPCĐ</t>
  </si>
  <si>
    <t>Lương</t>
  </si>
  <si>
    <t>ngày</t>
  </si>
  <si>
    <t>Mức lương</t>
  </si>
  <si>
    <t>tháng/nhóm</t>
  </si>
  <si>
    <t>Lương tổng</t>
  </si>
  <si>
    <t>7=1+2+…+6</t>
  </si>
  <si>
    <t>9=8*23.5%</t>
  </si>
  <si>
    <t>10=8+9</t>
  </si>
  <si>
    <t>Bảng 01</t>
  </si>
  <si>
    <t>BẢNG TÍNH ĐƠN GIÁ NHÂN CÔNG</t>
  </si>
  <si>
    <t>Định biên</t>
  </si>
  <si>
    <t>Nội dung</t>
  </si>
  <si>
    <t>Đơn vị tính</t>
  </si>
  <si>
    <t>Lương
ngày</t>
  </si>
  <si>
    <t>Định
mức</t>
  </si>
  <si>
    <t>D</t>
  </si>
  <si>
    <t>KS1</t>
  </si>
  <si>
    <t>KS2</t>
  </si>
  <si>
    <t>KS4</t>
  </si>
  <si>
    <t>0,0003</t>
  </si>
  <si>
    <t>KTV1</t>
  </si>
  <si>
    <t>1=2,67*1.490.000</t>
  </si>
  <si>
    <t>Định mức</t>
  </si>
  <si>
    <t>2=1/26 ngày</t>
  </si>
  <si>
    <t>8=7/26 ngày</t>
  </si>
  <si>
    <t>3=2*23,5%</t>
  </si>
  <si>
    <t>4=2+3</t>
  </si>
  <si>
    <t>Trường dữ liệu</t>
  </si>
  <si>
    <t>Trang A4</t>
  </si>
  <si>
    <t>Khó khăn 1</t>
  </si>
  <si>
    <t>Khó khăn 2</t>
  </si>
  <si>
    <t>Khó khăn 3</t>
  </si>
  <si>
    <t>6=4*5</t>
  </si>
  <si>
    <t>KS3</t>
  </si>
  <si>
    <t>KTV6</t>
  </si>
  <si>
    <t>KS7</t>
  </si>
  <si>
    <t>KTV6 + KS3</t>
  </si>
  <si>
    <t>KTV1+KS4</t>
  </si>
  <si>
    <t>Bảng số 07</t>
  </si>
  <si>
    <t>Bảng 8</t>
  </si>
  <si>
    <t>Bảng 13</t>
  </si>
  <si>
    <t>Công nhóm/1GB</t>
  </si>
  <si>
    <t>Bảng 20</t>
  </si>
  <si>
    <t>Bảng 19</t>
  </si>
  <si>
    <t>KTV2</t>
  </si>
  <si>
    <t>KTV1+KTV2+KS2</t>
  </si>
  <si>
    <t>KTV1+KS2</t>
  </si>
  <si>
    <t>Bảng 37</t>
  </si>
  <si>
    <t>Bảng 38</t>
  </si>
  <si>
    <t>Bảng 33</t>
  </si>
  <si>
    <t>Bảng 32</t>
  </si>
  <si>
    <t>Bảng 25</t>
  </si>
  <si>
    <t>Bảng 26</t>
  </si>
  <si>
    <t>Bảng 44</t>
  </si>
  <si>
    <t>Bảng 43</t>
  </si>
  <si>
    <t>Nhập, đối soát dữ liệu</t>
  </si>
  <si>
    <t>4.3</t>
  </si>
  <si>
    <t>Quét chụp tài liệu</t>
  </si>
  <si>
    <t>4.2</t>
  </si>
  <si>
    <t>4.2.a</t>
  </si>
  <si>
    <t>Mức Nhập, đối soát dữ liệu  Khoản 4 Chương 1 Phần 3 Thông tư số 26/2014/TT-BTNMT ngày 28 tháng 5 năm 2014</t>
  </si>
  <si>
    <t>Mức Nhập, đối soát dữ liệu Khoản 4 Chương 1 Phần 3 Thông tư số 26/2014/TT-BTNMT ngày 28 tháng 5 năm 2014</t>
  </si>
  <si>
    <t>Mức Quét (chụp) tài liệu Điểm 4.2, Khoản 4, Chương I, Phần 3, Thông tư số 26/2014/TT-BTNMT</t>
  </si>
  <si>
    <t>Mức Xử lý và đính kèm tài liệu quét quy định tại Điểm 4.2, Khoản 4, Chương I, Phần 3, Thông tư số 26/2014/TT-BTNMT</t>
  </si>
  <si>
    <t>Xử lý và đính kèm tài liệu quét</t>
  </si>
  <si>
    <t>4.2.1</t>
  </si>
  <si>
    <t>4.2.2</t>
  </si>
  <si>
    <t xml:space="preserve"> Công nhóm/01 trang A4</t>
  </si>
  <si>
    <t>KTV1+KS1</t>
  </si>
  <si>
    <t>Bảng 56</t>
  </si>
  <si>
    <t>Bảng 57</t>
  </si>
  <si>
    <t>Bảng 50</t>
  </si>
  <si>
    <t>Bảng 51</t>
  </si>
  <si>
    <t>Bảng 62</t>
  </si>
  <si>
    <t>Bảng 63</t>
  </si>
  <si>
    <t>THIẾT BỊ</t>
  </si>
  <si>
    <t>DỤNG CỤ</t>
  </si>
  <si>
    <t>ĐƠN GIÁ
 (Chưa VAT)</t>
  </si>
  <si>
    <t>Phụ lục I.21</t>
  </si>
  <si>
    <t>Phụ lục I.5b</t>
  </si>
  <si>
    <t>ĐƠN GIÁ VẬT TƯ - THIẾT BỊ DỤNG CỤ</t>
  </si>
  <si>
    <t>TÊN VẬT TƯ</t>
  </si>
  <si>
    <t>THỜI HẠN</t>
  </si>
  <si>
    <t>VẬT LIỆU</t>
  </si>
  <si>
    <t>VNĐ</t>
  </si>
  <si>
    <t>Năm</t>
  </si>
  <si>
    <t>Column1</t>
  </si>
  <si>
    <t>ĐIỆN NĂNG</t>
  </si>
  <si>
    <t>kW</t>
  </si>
  <si>
    <t>Máy hút ẩm 1,5 kW</t>
  </si>
  <si>
    <t>4.2.b</t>
  </si>
  <si>
    <t>4.3.a</t>
  </si>
  <si>
    <t>4.3.b</t>
  </si>
  <si>
    <t>4.3.c</t>
  </si>
  <si>
    <t>4.3.d</t>
  </si>
  <si>
    <t>4.3.đ</t>
  </si>
  <si>
    <t>4.3.e</t>
  </si>
  <si>
    <t>4.3.g</t>
  </si>
  <si>
    <t>4.3.h</t>
  </si>
  <si>
    <t>1</t>
  </si>
  <si>
    <t>2</t>
  </si>
  <si>
    <t>3</t>
  </si>
  <si>
    <t>4</t>
  </si>
  <si>
    <t>5</t>
  </si>
  <si>
    <t>KK1=0,8KK2</t>
  </si>
  <si>
    <t>Kho TT = 1,2 x Kho CD</t>
  </si>
  <si>
    <t>Kho tạm = 1,5 x Kho CD</t>
  </si>
  <si>
    <t>Kho CD</t>
  </si>
  <si>
    <t>Tài liệu gồm dạng giấy và dạng số</t>
  </si>
  <si>
    <t>Tài liệu chỉ gồm dạng giấy</t>
  </si>
  <si>
    <t>Tài liệu chỉ gồm dạng số</t>
  </si>
  <si>
    <t>TLGS</t>
  </si>
  <si>
    <t>TLG = 0,6 TLGS</t>
  </si>
  <si>
    <t>TLS = 0,2 TLGS</t>
  </si>
  <si>
    <t>Tài liệu đã chỉnh lý sơ bộ</t>
  </si>
  <si>
    <t>Tài liệu chưa lập hồ sơ (tài liệu rời lẻ)</t>
  </si>
  <si>
    <t>Tiêu hủy tài liệu hết giá trị bảo quản trong kho</t>
  </si>
  <si>
    <t>Tiêu hủy tài liệu hết giá trị loại ra sau khi chỉnh lý</t>
  </si>
  <si>
    <t>1,00</t>
  </si>
  <si>
    <t>Bằng 1,1 định mức tài liệu đã chỉnh lý sơ bộ</t>
  </si>
  <si>
    <t>A4</t>
  </si>
  <si>
    <t>Khổ giấy A4</t>
  </si>
  <si>
    <t>A5</t>
  </si>
  <si>
    <t>Khổ giấy A5</t>
  </si>
  <si>
    <t>Ca/tờ A5</t>
  </si>
  <si>
    <t>A3</t>
  </si>
  <si>
    <t>Khổ giấy A3</t>
  </si>
  <si>
    <t>Ca/tờ A3</t>
  </si>
  <si>
    <t>A2</t>
  </si>
  <si>
    <t>Khổ giấy A2</t>
  </si>
  <si>
    <t>Ca/tờ A2</t>
  </si>
  <si>
    <t>A1</t>
  </si>
  <si>
    <t>Khổ giấy A1</t>
  </si>
  <si>
    <t>Ca/tờ A1</t>
  </si>
  <si>
    <t>A0</t>
  </si>
  <si>
    <t>Khổ giấy A0</t>
  </si>
  <si>
    <t>Ca/tờ A0</t>
  </si>
  <si>
    <t>0,8 A4</t>
  </si>
  <si>
    <t>1,5 A4</t>
  </si>
  <si>
    <t>2,5 A4</t>
  </si>
  <si>
    <t>5,0 A4</t>
  </si>
  <si>
    <t>10,0 A4</t>
  </si>
  <si>
    <t>Bảng 46, Bồi nền 2 mặt nhân hệ số 2 tại bước b,c</t>
  </si>
  <si>
    <t>Khi số lượng trang (hoặc mảnh) khai thác &gt; 1, mức cho mỗi trang (hoặc mảnh) tăng thêm tính bằng 0,11 mức quy định trong bảng này.</t>
  </si>
  <si>
    <t>Khoản 4 Chương 1 Phần 3 Thông tư số 26/2014/TT-BTNMT ngày 28 tháng 5 năm 2014 (Không có định mức dụng cụ)</t>
  </si>
  <si>
    <t>Áp dụng mức II.2.b Chuyển dữ liệu số vào thiết bị lưu trữ và thực hiện phân loại tài liệu kết hợp xác định giá trị tài liệu và thời hạn bảo quản (Không có định mức vật liệu)</t>
  </si>
  <si>
    <t>Khoản 4 Chương 1 Phần 3 Thông tư số 26/2014/TT-BTNMT ngày 28 tháng 5 năm 2014 (Không có định mức vật liệu)</t>
  </si>
  <si>
    <t>Điểm 4.2, Khoản 4, Chương I, Phần 3, Thông tư số 26/2014/TT-BTNMT (Không có định mức vật liệu)</t>
  </si>
  <si>
    <t>Điểm 4.2, Khoản 4, Chương I, Phần 3, Thông tư số 26/2014/TT-BTNMT (Không có định mức dụng cụ)</t>
  </si>
  <si>
    <t>Mức Nhập, đối soát dữ liệu Khoản 4 Chương 1 Phần 3 Thông tư số 26/2014/TT-BTNMT ngày 28 tháng 5 năm 2014 (Không có định mức dụng cụ)</t>
  </si>
  <si>
    <t>Mức Nhập, đối soát dữ liệu Khoản 4 Chương 1 Phần 3 Thông tư số 26/2014/TT-BTNMT ngày 28 tháng 5 năm 2014 (Không có định mức vật liệu)</t>
  </si>
  <si>
    <t>Tính cho 01 mét giá</t>
  </si>
  <si>
    <t>tính cho 01 phương tiện lưu trữ</t>
  </si>
  <si>
    <t>Tính cho 01 phương tiện lưu trữ</t>
  </si>
  <si>
    <t>Tính cho 01 tờ khổ A4</t>
  </si>
  <si>
    <t>Tính cho 01 tờ khổ A5</t>
  </si>
  <si>
    <t>Tính cho 01 tờ khổ A3</t>
  </si>
  <si>
    <t>Tính cho 01 tờ khổ A2</t>
  </si>
  <si>
    <t>Tính cho 01 tờ khổ A1</t>
  </si>
  <si>
    <t>Tính cho 01 tờ khổ A0</t>
  </si>
  <si>
    <t>Băng dính to</t>
  </si>
  <si>
    <t>Cuộn</t>
  </si>
  <si>
    <t>Khoản 4 Chương 1 Phần 3 Thông tư số 26/2014/TT-BTNMT ngày 28 tháng 5 năm 2014 (Không có định mức điện năng)</t>
  </si>
  <si>
    <t>Áp dụng mức II.2.b Chuyển dữ liệu số vào thiết bị lưu trữ và thực hiện phân loại tài liệu kết hợp xác định giá trị tài liệu và thời hạn bảo quản (Không có định mức điện năng)</t>
  </si>
  <si>
    <t>Điểm 4.2, Khoản 4, Chương I, Phần 3, Thông tư số 26/2014/TT-BTNMT (Không có định mức điện năng)</t>
  </si>
  <si>
    <t>Mức Nhập, đối soát dữ liệu Khoản 4 Chương 1 Phần 3 Thông tư số 26/2014/TT-BTNMT ngày 28 tháng 5 năm 2014 (Không có định mức điện năng)</t>
  </si>
  <si>
    <t>Ca/ lần</t>
  </si>
  <si>
    <t>Ca/ mét giá</t>
  </si>
  <si>
    <t>III.2.b1</t>
  </si>
  <si>
    <t>III.2.b2</t>
  </si>
  <si>
    <t>III.2.b3</t>
  </si>
  <si>
    <t>III.3.b1</t>
  </si>
  <si>
    <t>III.3.b2</t>
  </si>
  <si>
    <t>III.3.b3</t>
  </si>
  <si>
    <t>III.1.b1</t>
  </si>
  <si>
    <t>III.1.b2</t>
  </si>
  <si>
    <t>III.1.b3</t>
  </si>
  <si>
    <t>Tài liệu bản đồ</t>
  </si>
  <si>
    <t>thay bìa hồ sơ bằng vật liệu bao (hoặc cặp) đựng tài liệu bản đồ theo kho, cỡ tài liệu, mức là 20 cái/mét giá</t>
  </si>
  <si>
    <t>KK3=1,3KK2</t>
  </si>
  <si>
    <t>Tờ A4</t>
  </si>
  <si>
    <t>Mét giá</t>
  </si>
  <si>
    <t>Trang A3</t>
  </si>
  <si>
    <t>Trang A2</t>
  </si>
  <si>
    <t>Trang A1</t>
  </si>
  <si>
    <t>Trang A0</t>
  </si>
  <si>
    <t xml:space="preserve">Trường hợp tài liệu A3: k = 2 </t>
  </si>
  <si>
    <t xml:space="preserve">Trường hợp tài liệu A2: k = 4 </t>
  </si>
  <si>
    <t xml:space="preserve">Trường hợp tài liệu A1: k = 8 </t>
  </si>
  <si>
    <t>Trường hợp tài liệu A0: k = 16</t>
  </si>
  <si>
    <t>II.7.d1</t>
  </si>
  <si>
    <t>II.7.d2</t>
  </si>
  <si>
    <t>Báo cáo</t>
  </si>
  <si>
    <t>Tài liệu</t>
  </si>
  <si>
    <t>Mảnh</t>
  </si>
  <si>
    <t>Bằng 0,82 định mức Cung cấp thông tin, tài liệu trực tiếp</t>
  </si>
  <si>
    <t>Bằng 1,05 lần định mức Cung cấp thông tin, tài liệu trực tiếp</t>
  </si>
  <si>
    <r>
      <t>Ca/ m</t>
    </r>
    <r>
      <rPr>
        <i/>
        <vertAlign val="superscript"/>
        <sz val="12"/>
        <rFont val="Times New Roman"/>
        <family val="1"/>
      </rPr>
      <t>2</t>
    </r>
    <r>
      <rPr>
        <i/>
        <sz val="12"/>
        <rFont val="Times New Roman"/>
        <family val="1"/>
      </rPr>
      <t xml:space="preserve"> kho</t>
    </r>
  </si>
  <si>
    <r>
      <t>Tính cho 01 m</t>
    </r>
    <r>
      <rPr>
        <i/>
        <vertAlign val="superscript"/>
        <sz val="12"/>
        <rFont val="Times New Roman"/>
        <family val="1"/>
      </rPr>
      <t>2</t>
    </r>
    <r>
      <rPr>
        <i/>
        <sz val="12"/>
        <rFont val="Times New Roman"/>
        <family val="1"/>
      </rPr>
      <t xml:space="preserve"> kho</t>
    </r>
  </si>
  <si>
    <t>Trường hợp tài liệu A3: k = 2 
Trường hợp tài liệu A2: k = 4 
Trường hợp tài liệu A1: k = 8 
Trường hợp tài liệu A0: k = 16</t>
  </si>
  <si>
    <t>Dụng cụ</t>
  </si>
  <si>
    <t>CP khấu hao máy móc, thiết bị</t>
  </si>
  <si>
    <t>Lần</t>
  </si>
  <si>
    <t>1GB</t>
  </si>
  <si>
    <t>m2 kho</t>
  </si>
  <si>
    <t>Phương tiện lưu trữ</t>
  </si>
  <si>
    <t>Công nhóm/Báo cáo</t>
  </si>
  <si>
    <t>Công/Lần</t>
  </si>
  <si>
    <t>Công nhóm/m2 kho</t>
  </si>
  <si>
    <t>Công/Mảnh</t>
  </si>
  <si>
    <t>Công nhóm/Mét giá</t>
  </si>
  <si>
    <t>Công nhóm/Phương tiện lưu trữ</t>
  </si>
  <si>
    <t>Công nhóm/Tài liệu</t>
  </si>
  <si>
    <t>Công/Tờ A4</t>
  </si>
  <si>
    <r>
      <rPr>
        <b/>
        <i/>
        <sz val="12"/>
        <color rgb="FF000000"/>
        <rFont val="Times New Roman"/>
        <family val="1"/>
      </rPr>
      <t>Ghi chú:</t>
    </r>
    <r>
      <rPr>
        <i/>
        <sz val="12"/>
        <color rgb="FF000000"/>
        <rFont val="Times New Roman"/>
        <family val="1"/>
      </rPr>
      <t xml:space="preserve"> Trường hợp quét các loại tài liệu có kích thước khác thì định mức lao động và máy móc, thiết bị được nhân với hệ số sau:</t>
    </r>
  </si>
  <si>
    <t>M2</t>
  </si>
  <si>
    <t>Cuốn</t>
  </si>
  <si>
    <t>Bao (Cặp) đựng tài liệu</t>
  </si>
  <si>
    <t>Mức khấu hao/ca</t>
  </si>
  <si>
    <t>Bao gồm khấu hao</t>
  </si>
  <si>
    <t>Không gồm khấu hao</t>
  </si>
  <si>
    <t>9=6+7</t>
  </si>
  <si>
    <t>10=9-2*1,2</t>
  </si>
  <si>
    <t>BẢNG TÍNH ĐƠN GIÁ LAO ĐỘNG KỸ THUẬT</t>
  </si>
  <si>
    <t>Phụ lục I.6</t>
  </si>
  <si>
    <t>BẢNG TÍNH LƯƠNG NGÀY LAO ĐỘNG KỸ THUẬT</t>
  </si>
  <si>
    <t>Đối soát dữ liệu có cấu trúc đã nhập cho đối tượng không gian</t>
  </si>
  <si>
    <t>Không tính định mức thiết bị</t>
  </si>
  <si>
    <r>
      <t xml:space="preserve">Đối soát dữ liệu </t>
    </r>
    <r>
      <rPr>
        <sz val="12"/>
        <color rgb="FFFF0000"/>
        <rFont val="Times New Roman"/>
        <family val="1"/>
      </rPr>
      <t>có</t>
    </r>
    <r>
      <rPr>
        <sz val="12"/>
        <rFont val="Times New Roman"/>
        <family val="1"/>
      </rPr>
      <t xml:space="preserve"> cấu trúc đã nhập cho đối tượng không gian</t>
    </r>
  </si>
  <si>
    <r>
      <t>Đối soát dữ liệu</t>
    </r>
    <r>
      <rPr>
        <sz val="12"/>
        <color rgb="FFFF0000"/>
        <rFont val="Times New Roman"/>
        <family val="1"/>
      </rPr>
      <t xml:space="preserve"> có</t>
    </r>
    <r>
      <rPr>
        <sz val="12"/>
        <rFont val="Times New Roman"/>
        <family val="1"/>
      </rPr>
      <t xml:space="preserve"> cấu trúc đã nhập cho đối tượng không gian</t>
    </r>
  </si>
  <si>
    <t>Bồi nền 01 mặt</t>
  </si>
  <si>
    <t>Bồi nền 02 mặt</t>
  </si>
  <si>
    <t>Nhân hệ số 02</t>
  </si>
  <si>
    <t>III.4</t>
  </si>
  <si>
    <t>Cung cấp thông tin, tài liệu trực tiếp dưới dạng giấy và số khi không thu phí</t>
  </si>
  <si>
    <t>III.4.a</t>
  </si>
  <si>
    <t>III.4.b</t>
  </si>
  <si>
    <t>III.4.b1</t>
  </si>
  <si>
    <t>III.4.b2</t>
  </si>
  <si>
    <t>III.4.b3</t>
  </si>
  <si>
    <t>III.4.c</t>
  </si>
  <si>
    <t>III.4.d</t>
  </si>
  <si>
    <t>Nhân hệ số 2</t>
  </si>
  <si>
    <t>Không tính định mức điện năng</t>
  </si>
  <si>
    <t>Không tính định mức vật liệu</t>
  </si>
  <si>
    <t>Không tính định mức dụng cụ</t>
  </si>
  <si>
    <t>0,79</t>
  </si>
  <si>
    <t>Công/Tờ A5</t>
  </si>
  <si>
    <t>Công/Tờ A3</t>
  </si>
  <si>
    <t>Công/Tờ A2</t>
  </si>
  <si>
    <t>Công/Tờ A1</t>
  </si>
  <si>
    <t>Công/Tờ A0</t>
  </si>
  <si>
    <t>10,0 A4 (đối với công việc mục b,c)</t>
  </si>
  <si>
    <t>5,0 A4 (đối với công việc mục b,c)</t>
  </si>
  <si>
    <t>2,5 A4 (đối với công việc mục b,c)</t>
  </si>
  <si>
    <t>1,5 A4 (đối với công việc mục b,c)</t>
  </si>
  <si>
    <t>0,8 A4 (đối với công việc mục b,c)</t>
  </si>
  <si>
    <t>Nhân hệ số 02 đối với công việc mục b,c</t>
  </si>
  <si>
    <t>Danh mục thiết bị</t>
  </si>
  <si>
    <t>Danh mục dụng cụ</t>
  </si>
  <si>
    <t>Danh mục vật liệu</t>
  </si>
  <si>
    <t>Danh mục năng lượng</t>
  </si>
  <si>
    <t>Ca/trang A3</t>
  </si>
  <si>
    <t>Ca/trang A2</t>
  </si>
  <si>
    <t>Ca/trang A1</t>
  </si>
  <si>
    <t>Ca/trang A0</t>
  </si>
  <si>
    <t>Nhân hệ số 04</t>
  </si>
  <si>
    <t>Nhân hệ số 08</t>
  </si>
  <si>
    <t>Nhân hệ số 16</t>
  </si>
  <si>
    <t>Tài liệu A4</t>
  </si>
  <si>
    <t>Tài liệu A3</t>
  </si>
  <si>
    <t>Tài liệu A2</t>
  </si>
  <si>
    <t>Tài liệu A1</t>
  </si>
  <si>
    <t>Tài liệu A0</t>
  </si>
  <si>
    <t>Bằng 0,79 lần định mức Cung cấp thông tin, tài liệu trực tiếp</t>
  </si>
  <si>
    <t>Đơn giá theo Quyết định 50/2017/QĐ-TTg</t>
  </si>
  <si>
    <t>Theo Chứng thư Thẩm định giá số 3644/CT-DNI ngày 02 tháng 11 năm 2022 của Công ty CP Thẩm định giá Đồng Nai</t>
  </si>
  <si>
    <t>Chi phí chung 15%</t>
  </si>
  <si>
    <t>7=6*15%</t>
  </si>
  <si>
    <t>8=(6-2)*15%</t>
  </si>
  <si>
    <t>(Kèm theo Văn bản số                /STNMT-TTCNTT ngày       tháng       năm 2023 của Sở Tài nguyên và Môi trường)</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</si>
</sst>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 #,##0_-;_-* &quot;-&quot;_-;_-@_-"/>
    <numFmt numFmtId="43" formatCode="_-* #,##0.00_-;\-* #,##0.00_-;_-* &quot;-&quot;??_-;_-@_-"/>
    <numFmt numFmtId="164" formatCode="_-* #,##0_-;\-* #,##0_-;_-* &quot;-&quot;??_-;_-@_-"/>
    <numFmt numFmtId="165" formatCode="0.000"/>
    <numFmt numFmtId="166" formatCode="_(* #,##0_);_(* \(#,##0\);_(* &quot;-&quot;??_);_(@_)"/>
    <numFmt numFmtId="167" formatCode="_(* #,##0.00_);_(* \(#,##0.00\);_(* &quot;-&quot;_);_(@_)"/>
    <numFmt numFmtId="168" formatCode="0.0%"/>
    <numFmt numFmtId="169" formatCode="_(* #,##0.00_);_(* \(#,##0.00\);_(* &quot;-&quot;??_);_(@_)"/>
    <numFmt numFmtId="170" formatCode="_-* #,##0.0000_-;\-* #,##0.0000_-;_-* &quot;-&quot;??_-;_-@_-"/>
    <numFmt numFmtId="171" formatCode="#,##0.00000"/>
    <numFmt numFmtId="172" formatCode="0.0000"/>
    <numFmt numFmtId="174" formatCode="#,##0_ ;\-#,##0\ "/>
  </numFmts>
  <fonts count="47" x14ac:knownFonts="1">
    <font>
      <sz val="11"/>
      <color theme="1"/>
      <name val="Calibri"/>
      <family val="2"/>
      <scheme val="minor"/>
    </font>
    <font>
      <sz val="11"/>
      <color theme="1"/>
      <name val="Calibri"/>
      <family val="2"/>
      <scheme val="minor"/>
    </font>
    <font>
      <sz val="12"/>
      <name val="Times New Roman"/>
      <family val="1"/>
    </font>
    <font>
      <b/>
      <sz val="12"/>
      <color theme="1"/>
      <name val="Times New Roman"/>
      <family val="1"/>
    </font>
    <font>
      <i/>
      <sz val="12"/>
      <color theme="1"/>
      <name val="Times New Roman"/>
      <family val="1"/>
    </font>
    <font>
      <sz val="11"/>
      <name val="VNI-Times"/>
    </font>
    <font>
      <b/>
      <sz val="12"/>
      <name val="Times New Roman"/>
      <family val="1"/>
    </font>
    <font>
      <i/>
      <sz val="12"/>
      <name val="Times New Roman"/>
      <family val="1"/>
    </font>
    <font>
      <sz val="10"/>
      <color theme="1"/>
      <name val="Times New Roman"/>
      <family val="1"/>
    </font>
    <font>
      <sz val="12"/>
      <color theme="1"/>
      <name val="Times New Roman"/>
      <family val="1"/>
    </font>
    <font>
      <sz val="11"/>
      <color theme="1"/>
      <name val="Times New Roman"/>
      <family val="1"/>
    </font>
    <font>
      <b/>
      <sz val="11"/>
      <color theme="1"/>
      <name val="Times New Roman"/>
      <family val="1"/>
    </font>
    <font>
      <sz val="10"/>
      <color rgb="FFFF0000"/>
      <name val="Times New Roman"/>
      <family val="1"/>
    </font>
    <font>
      <i/>
      <sz val="11"/>
      <color theme="1"/>
      <name val="Times New Roman"/>
      <family val="1"/>
    </font>
    <font>
      <i/>
      <sz val="10"/>
      <color theme="1"/>
      <name val="Times New Roman"/>
      <family val="1"/>
    </font>
    <font>
      <i/>
      <sz val="12"/>
      <color rgb="FFFF0000"/>
      <name val="Times New Roman"/>
      <family val="1"/>
    </font>
    <font>
      <i/>
      <sz val="10"/>
      <color rgb="FFFF0000"/>
      <name val="Times New Roman"/>
      <family val="1"/>
    </font>
    <font>
      <i/>
      <sz val="10"/>
      <name val="Times New Roman"/>
      <family val="1"/>
    </font>
    <font>
      <b/>
      <i/>
      <sz val="12"/>
      <name val="Times New Roman"/>
      <family val="1"/>
    </font>
    <font>
      <b/>
      <i/>
      <sz val="11"/>
      <color theme="1"/>
      <name val="Calibri"/>
      <family val="2"/>
      <scheme val="minor"/>
    </font>
    <font>
      <sz val="10"/>
      <name val="Arial"/>
      <family val="2"/>
    </font>
    <font>
      <i/>
      <sz val="12"/>
      <color theme="1"/>
      <name val="Calibri"/>
      <family val="2"/>
      <scheme val="minor"/>
    </font>
    <font>
      <sz val="11"/>
      <color rgb="FFFF0000"/>
      <name val="Calibri"/>
      <family val="2"/>
      <scheme val="minor"/>
    </font>
    <font>
      <sz val="11"/>
      <color rgb="FFFF0000"/>
      <name val="Times New Roman"/>
      <family val="1"/>
    </font>
    <font>
      <sz val="11"/>
      <name val="Calibri"/>
      <family val="2"/>
      <scheme val="minor"/>
    </font>
    <font>
      <sz val="13"/>
      <color theme="1"/>
      <name val="Times New Roman"/>
      <family val="1"/>
    </font>
    <font>
      <b/>
      <sz val="13"/>
      <color theme="0"/>
      <name val="Times New Roman"/>
      <family val="1"/>
    </font>
    <font>
      <b/>
      <i/>
      <sz val="11"/>
      <color theme="1"/>
      <name val="Times New Roman"/>
      <family val="1"/>
    </font>
    <font>
      <sz val="10"/>
      <name val="Times New Roman"/>
      <family val="1"/>
    </font>
    <font>
      <sz val="12"/>
      <color rgb="FFFF0000"/>
      <name val="Times New Roman"/>
      <family val="1"/>
    </font>
    <font>
      <b/>
      <i/>
      <sz val="10"/>
      <name val="Times New Roman"/>
      <family val="1"/>
    </font>
    <font>
      <i/>
      <sz val="10"/>
      <name val="Calibri"/>
      <family val="2"/>
      <scheme val="minor"/>
    </font>
    <font>
      <i/>
      <vertAlign val="superscript"/>
      <sz val="12"/>
      <name val="Times New Roman"/>
      <family val="1"/>
    </font>
    <font>
      <sz val="11"/>
      <name val="Times New Roman"/>
      <family val="1"/>
    </font>
    <font>
      <b/>
      <i/>
      <sz val="12"/>
      <color rgb="FF000000"/>
      <name val="Times New Roman"/>
      <family val="1"/>
    </font>
    <font>
      <i/>
      <sz val="12"/>
      <color rgb="FF000000"/>
      <name val="Times New Roman"/>
      <family val="1"/>
    </font>
    <font>
      <sz val="13"/>
      <color theme="1"/>
      <name val="Times New Roman"/>
      <family val="1"/>
    </font>
    <font>
      <sz val="9"/>
      <color indexed="81"/>
      <name val="Tahoma"/>
      <family val="2"/>
    </font>
    <font>
      <b/>
      <sz val="9"/>
      <color indexed="81"/>
      <name val="Tahoma"/>
      <family val="2"/>
    </font>
    <font>
      <b/>
      <i/>
      <sz val="12"/>
      <color rgb="FFFF0000"/>
      <name val="Times New Roman"/>
      <family val="1"/>
    </font>
    <font>
      <b/>
      <i/>
      <sz val="10"/>
      <color rgb="FFFF0000"/>
      <name val="Times New Roman"/>
      <family val="1"/>
    </font>
    <font>
      <i/>
      <sz val="11"/>
      <name val="Times New Roman"/>
      <family val="1"/>
    </font>
    <font>
      <i/>
      <sz val="11"/>
      <color rgb="FFFF0000"/>
      <name val="Times New Roman"/>
      <family val="1"/>
    </font>
    <font>
      <b/>
      <i/>
      <sz val="11"/>
      <color rgb="FFFF0000"/>
      <name val="Times New Roman"/>
      <family val="1"/>
    </font>
    <font>
      <b/>
      <i/>
      <sz val="11"/>
      <name val="Times New Roman"/>
      <family val="1"/>
    </font>
    <font>
      <sz val="12"/>
      <name val="Times New Roman"/>
      <family val="1"/>
    </font>
    <font>
      <i/>
      <sz val="12"/>
      <name val="Times New Roman"/>
      <family val="1"/>
    </font>
  </fonts>
  <fills count="4">
    <fill>
      <patternFill patternType="none"/>
    </fill>
    <fill>
      <patternFill patternType="gray125"/>
    </fill>
    <fill>
      <patternFill patternType="solid">
        <fgColor theme="5" tint="-0.249977111117893"/>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41" fontId="1" fillId="0" borderId="0" applyFont="0" applyFill="0" applyBorder="0" applyAlignment="0" applyProtection="0"/>
    <xf numFmtId="0" fontId="20" fillId="0" borderId="0"/>
    <xf numFmtId="169" fontId="20" fillId="0" borderId="0" applyFont="0" applyFill="0" applyBorder="0" applyAlignment="0" applyProtection="0"/>
    <xf numFmtId="0" fontId="20" fillId="0" borderId="0"/>
  </cellStyleXfs>
  <cellXfs count="483">
    <xf numFmtId="0" fontId="0" fillId="0" borderId="0" xfId="0"/>
    <xf numFmtId="0" fontId="7" fillId="0" borderId="1" xfId="0" applyFont="1" applyFill="1" applyBorder="1" applyAlignment="1">
      <alignment horizontal="center" vertical="center"/>
    </xf>
    <xf numFmtId="3" fontId="6" fillId="0" borderId="2" xfId="3" applyNumberFormat="1" applyFont="1" applyFill="1" applyBorder="1" applyAlignment="1">
      <alignment horizontal="center" vertical="center" wrapText="1"/>
    </xf>
    <xf numFmtId="0" fontId="6" fillId="0" borderId="2" xfId="3"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pplyAlignment="1">
      <alignment wrapText="1"/>
    </xf>
    <xf numFmtId="0" fontId="3" fillId="0" borderId="2" xfId="0" applyFont="1" applyBorder="1" applyAlignment="1">
      <alignment vertical="center" wrapText="1"/>
    </xf>
    <xf numFmtId="0" fontId="10" fillId="0" borderId="0" xfId="0" applyFont="1"/>
    <xf numFmtId="0" fontId="11" fillId="0" borderId="0" xfId="0" applyFont="1"/>
    <xf numFmtId="0" fontId="10" fillId="0" borderId="0" xfId="0" applyFont="1" applyAlignment="1">
      <alignment horizontal="center"/>
    </xf>
    <xf numFmtId="0" fontId="10" fillId="0" borderId="0" xfId="0" applyFont="1" applyAlignment="1">
      <alignment wrapText="1"/>
    </xf>
    <xf numFmtId="164" fontId="10" fillId="0" borderId="0" xfId="1" applyNumberFormat="1" applyFont="1"/>
    <xf numFmtId="0" fontId="2" fillId="0" borderId="2" xfId="0" quotePrefix="1" applyFont="1" applyFill="1" applyBorder="1" applyAlignment="1">
      <alignment horizontal="center" vertical="center" wrapText="1"/>
    </xf>
    <xf numFmtId="0" fontId="12" fillId="0" borderId="0" xfId="0" applyFont="1" applyAlignment="1">
      <alignment vertical="center" wrapText="1"/>
    </xf>
    <xf numFmtId="0" fontId="10" fillId="0" borderId="0" xfId="0" applyFont="1" applyAlignment="1">
      <alignment vertical="center"/>
    </xf>
    <xf numFmtId="0" fontId="7" fillId="0" borderId="2" xfId="0" applyFont="1" applyFill="1" applyBorder="1" applyAlignment="1">
      <alignment horizontal="center" vertical="center" wrapText="1"/>
    </xf>
    <xf numFmtId="0" fontId="13" fillId="0" borderId="0" xfId="0" applyFont="1" applyAlignment="1">
      <alignment horizontal="center" vertical="center"/>
    </xf>
    <xf numFmtId="0" fontId="2" fillId="0" borderId="0" xfId="0" applyFont="1" applyFill="1" applyAlignment="1">
      <alignment vertical="center"/>
    </xf>
    <xf numFmtId="0" fontId="6" fillId="0" borderId="0" xfId="0" applyFont="1" applyFill="1" applyAlignment="1">
      <alignment vertical="center"/>
    </xf>
    <xf numFmtId="0" fontId="7" fillId="0" borderId="0" xfId="0" applyFont="1" applyFill="1" applyBorder="1" applyAlignment="1">
      <alignment vertical="center"/>
    </xf>
    <xf numFmtId="0" fontId="0" fillId="0" borderId="0" xfId="0" applyAlignment="1">
      <alignment wrapText="1"/>
    </xf>
    <xf numFmtId="0" fontId="15" fillId="0" borderId="0" xfId="0" applyFont="1"/>
    <xf numFmtId="0" fontId="0" fillId="0" borderId="0" xfId="0" applyAlignment="1">
      <alignment horizontal="center"/>
    </xf>
    <xf numFmtId="0" fontId="12" fillId="0" borderId="0" xfId="0" applyFont="1"/>
    <xf numFmtId="0" fontId="16" fillId="0" borderId="0" xfId="0" applyFont="1"/>
    <xf numFmtId="0" fontId="0" fillId="0" borderId="0" xfId="0" applyAlignment="1">
      <alignment vertical="center"/>
    </xf>
    <xf numFmtId="0" fontId="12" fillId="0" borderId="0" xfId="0" applyFont="1" applyAlignment="1">
      <alignment vertical="center"/>
    </xf>
    <xf numFmtId="0" fontId="16" fillId="0" borderId="0" xfId="0" applyFont="1" applyAlignment="1">
      <alignment vertical="center"/>
    </xf>
    <xf numFmtId="0" fontId="10" fillId="0" borderId="0" xfId="0" applyFont="1" applyAlignment="1">
      <alignment horizontal="center" vertical="center"/>
    </xf>
    <xf numFmtId="164" fontId="10" fillId="0" borderId="0" xfId="1" applyNumberFormat="1" applyFont="1" applyAlignment="1">
      <alignment vertical="center"/>
    </xf>
    <xf numFmtId="0" fontId="9" fillId="0" borderId="0" xfId="0" applyFont="1" applyAlignment="1">
      <alignment horizontal="center"/>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8" fillId="0" borderId="2" xfId="0" applyFont="1" applyFill="1" applyBorder="1" applyAlignment="1">
      <alignment horizontal="center" vertical="center" wrapText="1"/>
    </xf>
    <xf numFmtId="0" fontId="19" fillId="0" borderId="0" xfId="0" applyFont="1"/>
    <xf numFmtId="0" fontId="2" fillId="0" borderId="2" xfId="0" applyFont="1" applyBorder="1" applyAlignment="1">
      <alignment vertical="center" wrapText="1"/>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166" fontId="9" fillId="0" borderId="0" xfId="1" applyNumberFormat="1" applyFont="1" applyFill="1" applyBorder="1" applyAlignment="1">
      <alignment horizontal="center" vertical="center"/>
    </xf>
    <xf numFmtId="168" fontId="6"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166" fontId="14" fillId="0" borderId="0" xfId="1" applyNumberFormat="1" applyFont="1" applyFill="1" applyBorder="1" applyAlignment="1">
      <alignment horizontal="center" vertical="center"/>
    </xf>
    <xf numFmtId="0" fontId="6" fillId="0" borderId="2" xfId="0" applyFont="1" applyFill="1" applyBorder="1" applyAlignment="1">
      <alignment horizontal="center" vertical="center"/>
    </xf>
    <xf numFmtId="167" fontId="6" fillId="0" borderId="2" xfId="4" applyNumberFormat="1" applyFont="1" applyFill="1" applyBorder="1" applyAlignment="1">
      <alignment horizontal="center" vertical="center"/>
    </xf>
    <xf numFmtId="166"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2" fillId="0" borderId="2" xfId="0" applyFont="1" applyFill="1" applyBorder="1" applyAlignment="1">
      <alignment vertical="center" wrapText="1"/>
    </xf>
    <xf numFmtId="168" fontId="7" fillId="0" borderId="2" xfId="0" applyNumberFormat="1" applyFont="1" applyFill="1" applyBorder="1" applyAlignment="1">
      <alignment horizontal="center" vertical="center" wrapText="1"/>
    </xf>
    <xf numFmtId="49" fontId="7" fillId="0" borderId="2" xfId="1" applyNumberFormat="1" applyFont="1" applyFill="1" applyBorder="1" applyAlignment="1">
      <alignment horizontal="center" vertical="center" wrapText="1"/>
    </xf>
    <xf numFmtId="0" fontId="21" fillId="0" borderId="0" xfId="0" applyFont="1" applyAlignment="1">
      <alignment vertical="center"/>
    </xf>
    <xf numFmtId="0" fontId="0" fillId="0" borderId="0" xfId="0" applyAlignment="1">
      <alignment horizontal="center" vertical="center"/>
    </xf>
    <xf numFmtId="0" fontId="23" fillId="0" borderId="0" xfId="0" applyFont="1" applyAlignment="1">
      <alignment vertical="center"/>
    </xf>
    <xf numFmtId="0" fontId="22" fillId="0" borderId="0" xfId="0" applyFont="1"/>
    <xf numFmtId="0" fontId="6" fillId="0" borderId="2" xfId="0" applyFont="1" applyBorder="1" applyAlignment="1">
      <alignment vertical="center" wrapText="1"/>
    </xf>
    <xf numFmtId="0" fontId="2" fillId="0" borderId="2" xfId="0" applyFont="1" applyBorder="1" applyAlignment="1">
      <alignment horizontal="center" vertical="center"/>
    </xf>
    <xf numFmtId="0" fontId="24" fillId="0" borderId="0" xfId="0" applyFont="1"/>
    <xf numFmtId="0" fontId="24" fillId="0" borderId="0" xfId="0" applyFont="1" applyAlignment="1">
      <alignment vertical="center"/>
    </xf>
    <xf numFmtId="0" fontId="22" fillId="0" borderId="0" xfId="0" applyFont="1" applyAlignment="1">
      <alignment vertical="center"/>
    </xf>
    <xf numFmtId="0" fontId="0" fillId="0" borderId="0" xfId="0" applyAlignment="1">
      <alignment horizontal="center" vertical="center" wrapText="1"/>
    </xf>
    <xf numFmtId="0" fontId="14" fillId="0" borderId="0" xfId="0" applyFont="1" applyAlignment="1">
      <alignment horizontal="center" vertical="center"/>
    </xf>
    <xf numFmtId="0" fontId="25" fillId="0" borderId="0" xfId="0" applyFont="1" applyBorder="1" applyAlignment="1">
      <alignment horizontal="center" vertical="center"/>
    </xf>
    <xf numFmtId="0" fontId="26" fillId="2" borderId="0" xfId="0" applyFont="1" applyFill="1" applyBorder="1" applyAlignment="1">
      <alignment horizontal="center"/>
    </xf>
    <xf numFmtId="0" fontId="25" fillId="0" borderId="0" xfId="0" applyFont="1" applyBorder="1" applyAlignment="1">
      <alignment horizontal="center"/>
    </xf>
    <xf numFmtId="0" fontId="25" fillId="0" borderId="0" xfId="0" applyFont="1" applyBorder="1" applyAlignment="1">
      <alignment vertical="center"/>
    </xf>
    <xf numFmtId="0" fontId="25" fillId="0" borderId="0" xfId="0" applyFont="1" applyBorder="1"/>
    <xf numFmtId="0" fontId="25" fillId="0" borderId="0" xfId="0" applyFont="1" applyBorder="1" applyAlignment="1">
      <alignment vertical="center" wrapText="1"/>
    </xf>
    <xf numFmtId="0" fontId="26" fillId="2" borderId="0" xfId="0" applyFont="1" applyFill="1" applyBorder="1" applyAlignment="1">
      <alignment horizontal="center" vertical="center" wrapText="1"/>
    </xf>
    <xf numFmtId="164" fontId="25" fillId="0" borderId="0" xfId="1" applyNumberFormat="1" applyFont="1" applyBorder="1" applyAlignment="1">
      <alignment horizontal="center" vertical="center" wrapText="1"/>
    </xf>
    <xf numFmtId="164" fontId="25" fillId="0" borderId="0" xfId="1" applyNumberFormat="1" applyFont="1" applyBorder="1"/>
    <xf numFmtId="164" fontId="0" fillId="0" borderId="0" xfId="1" applyNumberFormat="1" applyFont="1"/>
    <xf numFmtId="164" fontId="26" fillId="2" borderId="0" xfId="1" applyNumberFormat="1" applyFont="1" applyFill="1" applyBorder="1" applyAlignment="1">
      <alignment horizontal="center"/>
    </xf>
    <xf numFmtId="43" fontId="0" fillId="0" borderId="0" xfId="1" applyFont="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2" fillId="0" borderId="2" xfId="0" applyFont="1" applyBorder="1" applyAlignment="1">
      <alignment horizontal="center" vertical="center" wrapText="1"/>
    </xf>
    <xf numFmtId="0" fontId="7"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quotePrefix="1" applyFont="1" applyFill="1" applyBorder="1" applyAlignment="1">
      <alignment horizontal="center" vertical="center" wrapText="1"/>
    </xf>
    <xf numFmtId="0" fontId="3" fillId="0" borderId="9" xfId="0" applyFont="1" applyBorder="1" applyAlignment="1">
      <alignment horizontal="center" vertical="center"/>
    </xf>
    <xf numFmtId="0" fontId="6" fillId="0" borderId="7" xfId="0" applyFont="1" applyBorder="1" applyAlignment="1">
      <alignment horizontal="center" vertical="center" wrapText="1"/>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164" fontId="6" fillId="0" borderId="5" xfId="1" applyNumberFormat="1" applyFont="1" applyBorder="1" applyAlignment="1">
      <alignment horizontal="center" vertical="center" wrapText="1"/>
    </xf>
    <xf numFmtId="0" fontId="6" fillId="0" borderId="9" xfId="0" applyFont="1" applyBorder="1" applyAlignment="1">
      <alignment horizontal="center" vertical="center"/>
    </xf>
    <xf numFmtId="49" fontId="7" fillId="0" borderId="2" xfId="1" applyNumberFormat="1" applyFont="1" applyBorder="1" applyAlignment="1">
      <alignment horizontal="center" vertical="center" wrapText="1"/>
    </xf>
    <xf numFmtId="0" fontId="7" fillId="0" borderId="3" xfId="0" applyFont="1" applyBorder="1" applyAlignment="1">
      <alignment horizontal="center" vertical="center"/>
    </xf>
    <xf numFmtId="0" fontId="6" fillId="0" borderId="2" xfId="0" applyFont="1" applyBorder="1" applyAlignment="1">
      <alignment horizontal="left" vertical="center"/>
    </xf>
    <xf numFmtId="0" fontId="2" fillId="0" borderId="7" xfId="0" quotePrefix="1" applyFont="1" applyBorder="1" applyAlignment="1">
      <alignment horizontal="center" vertical="center"/>
    </xf>
    <xf numFmtId="0" fontId="2" fillId="0" borderId="2" xfId="0" applyFont="1" applyBorder="1"/>
    <xf numFmtId="0" fontId="2" fillId="0" borderId="2" xfId="0" applyFont="1" applyBorder="1" applyAlignment="1">
      <alignment horizontal="center"/>
    </xf>
    <xf numFmtId="164" fontId="2" fillId="0" borderId="2" xfId="1" applyNumberFormat="1" applyFont="1" applyBorder="1"/>
    <xf numFmtId="0" fontId="2" fillId="0" borderId="3" xfId="0" applyFont="1" applyBorder="1"/>
    <xf numFmtId="0" fontId="2" fillId="0" borderId="2" xfId="0" applyFont="1" applyBorder="1" applyAlignment="1">
      <alignment wrapText="1"/>
    </xf>
    <xf numFmtId="0" fontId="2" fillId="0" borderId="2" xfId="0" applyFont="1" applyBorder="1" applyAlignment="1">
      <alignment horizontal="left" vertical="center"/>
    </xf>
    <xf numFmtId="164" fontId="2" fillId="0" borderId="2" xfId="1" applyNumberFormat="1" applyFont="1" applyBorder="1" applyAlignment="1">
      <alignment vertical="center" wrapText="1"/>
    </xf>
    <xf numFmtId="0" fontId="2" fillId="0" borderId="3" xfId="0" applyFont="1" applyBorder="1" applyAlignment="1">
      <alignment horizontal="center" vertical="center"/>
    </xf>
    <xf numFmtId="165" fontId="2" fillId="0" borderId="2" xfId="0" applyNumberFormat="1" applyFont="1" applyBorder="1" applyAlignment="1">
      <alignment horizontal="center" vertical="center"/>
    </xf>
    <xf numFmtId="164" fontId="2" fillId="0" borderId="2" xfId="1" applyNumberFormat="1" applyFont="1" applyBorder="1" applyAlignment="1">
      <alignment horizontal="center" vertical="center"/>
    </xf>
    <xf numFmtId="0" fontId="2" fillId="0" borderId="10" xfId="0" quotePrefix="1" applyFont="1" applyBorder="1" applyAlignment="1">
      <alignment horizontal="center" vertical="center"/>
    </xf>
    <xf numFmtId="0" fontId="2" fillId="0" borderId="4" xfId="0" applyFont="1" applyBorder="1" applyAlignment="1">
      <alignment vertical="center" wrapText="1"/>
    </xf>
    <xf numFmtId="0" fontId="2" fillId="0" borderId="4" xfId="0" applyFont="1" applyBorder="1" applyAlignment="1">
      <alignment horizontal="center" vertical="center"/>
    </xf>
    <xf numFmtId="165"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164" fontId="2" fillId="0" borderId="4" xfId="1" applyNumberFormat="1" applyFont="1" applyBorder="1" applyAlignment="1">
      <alignment horizontal="center" vertical="center"/>
    </xf>
    <xf numFmtId="0" fontId="2" fillId="0" borderId="11" xfId="0" applyFont="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3" fillId="0" borderId="9" xfId="5"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vertical="center" wrapText="1"/>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3" fontId="6" fillId="0" borderId="5" xfId="0" applyNumberFormat="1" applyFont="1" applyFill="1" applyBorder="1" applyAlignment="1">
      <alignment horizontal="center" vertical="center"/>
    </xf>
    <xf numFmtId="0" fontId="6" fillId="0" borderId="9" xfId="5" applyFont="1" applyFill="1" applyBorder="1" applyAlignment="1">
      <alignment horizontal="center" vertical="center"/>
    </xf>
    <xf numFmtId="0" fontId="7" fillId="0" borderId="7" xfId="0" applyFont="1" applyFill="1" applyBorder="1" applyAlignment="1">
      <alignment horizontal="center" vertical="center"/>
    </xf>
    <xf numFmtId="3" fontId="7" fillId="0" borderId="2" xfId="0" applyNumberFormat="1" applyFont="1" applyFill="1" applyBorder="1" applyAlignment="1">
      <alignment horizontal="center" vertical="center"/>
    </xf>
    <xf numFmtId="0" fontId="7" fillId="0" borderId="3" xfId="5"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3" fontId="2" fillId="0" borderId="2" xfId="0" applyNumberFormat="1" applyFont="1" applyFill="1" applyBorder="1" applyAlignment="1">
      <alignment horizontal="center" vertical="center"/>
    </xf>
    <xf numFmtId="164" fontId="3" fillId="0" borderId="5" xfId="1" applyNumberFormat="1" applyFont="1" applyBorder="1" applyAlignment="1">
      <alignment horizontal="center" vertical="center"/>
    </xf>
    <xf numFmtId="0" fontId="2" fillId="0" borderId="2" xfId="0" applyFont="1" applyBorder="1" applyAlignment="1">
      <alignment vertical="center"/>
    </xf>
    <xf numFmtId="0" fontId="6" fillId="0" borderId="2" xfId="0" applyFont="1" applyBorder="1" applyAlignment="1">
      <alignment vertical="center"/>
    </xf>
    <xf numFmtId="43" fontId="2" fillId="0" borderId="2" xfId="1" applyNumberFormat="1" applyFont="1" applyBorder="1" applyAlignment="1">
      <alignment horizontal="center" vertical="center"/>
    </xf>
    <xf numFmtId="0" fontId="6" fillId="0" borderId="7" xfId="3" applyNumberFormat="1" applyFont="1" applyFill="1" applyBorder="1" applyAlignment="1">
      <alignment horizontal="center" vertical="center" wrapText="1"/>
    </xf>
    <xf numFmtId="0" fontId="7" fillId="0" borderId="8" xfId="3" applyNumberFormat="1" applyFont="1" applyFill="1" applyBorder="1" applyAlignment="1">
      <alignment horizontal="center" vertical="center" wrapText="1"/>
    </xf>
    <xf numFmtId="0" fontId="7" fillId="0" borderId="5" xfId="3" applyNumberFormat="1" applyFont="1" applyFill="1" applyBorder="1" applyAlignment="1">
      <alignment horizontal="center" vertical="center" wrapText="1"/>
    </xf>
    <xf numFmtId="3" fontId="7" fillId="0" borderId="5" xfId="3" applyNumberFormat="1" applyFont="1" applyFill="1" applyBorder="1" applyAlignment="1">
      <alignment horizontal="center" vertical="center" wrapText="1"/>
    </xf>
    <xf numFmtId="9" fontId="7" fillId="0" borderId="5" xfId="2" applyFont="1" applyFill="1" applyBorder="1" applyAlignment="1">
      <alignment horizontal="center" vertical="center" wrapText="1"/>
    </xf>
    <xf numFmtId="43" fontId="0" fillId="0" borderId="0" xfId="1" applyNumberFormat="1" applyFont="1"/>
    <xf numFmtId="43" fontId="6" fillId="0" borderId="5" xfId="1" applyNumberFormat="1" applyFont="1" applyBorder="1" applyAlignment="1">
      <alignment horizontal="center" vertical="center" wrapText="1"/>
    </xf>
    <xf numFmtId="43" fontId="6" fillId="0" borderId="5" xfId="1" applyNumberFormat="1" applyFont="1" applyBorder="1" applyAlignment="1">
      <alignment horizontal="center" vertical="center"/>
    </xf>
    <xf numFmtId="43" fontId="7" fillId="0" borderId="2" xfId="1" applyNumberFormat="1" applyFont="1" applyBorder="1" applyAlignment="1">
      <alignment horizontal="center" vertical="center" wrapText="1"/>
    </xf>
    <xf numFmtId="43" fontId="7" fillId="0" borderId="2" xfId="1" applyNumberFormat="1" applyFont="1" applyBorder="1" applyAlignment="1">
      <alignment horizontal="center" vertical="center"/>
    </xf>
    <xf numFmtId="0" fontId="6" fillId="0" borderId="2" xfId="0" applyFont="1" applyFill="1" applyBorder="1" applyAlignment="1">
      <alignment vertical="center" wrapText="1"/>
    </xf>
    <xf numFmtId="0" fontId="27" fillId="0" borderId="0" xfId="0" applyFont="1"/>
    <xf numFmtId="166" fontId="4" fillId="0" borderId="0" xfId="1" applyNumberFormat="1" applyFont="1" applyFill="1" applyBorder="1" applyAlignment="1">
      <alignment horizontal="center" vertical="center"/>
    </xf>
    <xf numFmtId="0" fontId="6" fillId="0" borderId="7" xfId="0" applyFont="1" applyBorder="1" applyAlignment="1">
      <alignment horizontal="center" vertical="center"/>
    </xf>
    <xf numFmtId="166" fontId="2" fillId="0" borderId="2" xfId="0" applyNumberFormat="1" applyFont="1" applyBorder="1" applyAlignment="1">
      <alignment vertical="center"/>
    </xf>
    <xf numFmtId="0" fontId="6" fillId="0" borderId="2" xfId="0" applyFont="1" applyFill="1" applyBorder="1" applyAlignment="1">
      <alignment vertical="center"/>
    </xf>
    <xf numFmtId="0" fontId="2" fillId="0" borderId="3" xfId="0" applyFont="1" applyBorder="1" applyAlignment="1">
      <alignment vertical="center"/>
    </xf>
    <xf numFmtId="166" fontId="2" fillId="0" borderId="4" xfId="0" applyNumberFormat="1" applyFont="1" applyBorder="1" applyAlignment="1">
      <alignment vertical="center"/>
    </xf>
    <xf numFmtId="0" fontId="2" fillId="0" borderId="4"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horizontal="center" wrapText="1"/>
    </xf>
    <xf numFmtId="165" fontId="2" fillId="0" borderId="2" xfId="0" applyNumberFormat="1" applyFont="1" applyBorder="1" applyAlignment="1">
      <alignment horizontal="center" vertical="center" wrapText="1"/>
    </xf>
    <xf numFmtId="43" fontId="0" fillId="0" borderId="0" xfId="1" applyNumberFormat="1" applyFont="1" applyAlignment="1">
      <alignment wrapText="1"/>
    </xf>
    <xf numFmtId="43" fontId="2" fillId="0" borderId="2" xfId="1" applyNumberFormat="1" applyFont="1" applyBorder="1" applyAlignment="1">
      <alignment horizontal="center" vertical="center" wrapText="1"/>
    </xf>
    <xf numFmtId="43" fontId="2" fillId="0" borderId="2" xfId="1" applyNumberFormat="1" applyFont="1" applyBorder="1" applyAlignment="1">
      <alignment wrapText="1"/>
    </xf>
    <xf numFmtId="43" fontId="2" fillId="0" borderId="4" xfId="1" applyNumberFormat="1" applyFont="1" applyBorder="1" applyAlignment="1">
      <alignment horizontal="center" vertical="center" wrapText="1"/>
    </xf>
    <xf numFmtId="0" fontId="2" fillId="0" borderId="2" xfId="0" quotePrefix="1" applyFont="1" applyFill="1" applyBorder="1" applyAlignment="1">
      <alignment horizontal="center" vertical="center"/>
    </xf>
    <xf numFmtId="0" fontId="18" fillId="0" borderId="2" xfId="0" applyFont="1" applyFill="1" applyBorder="1" applyAlignment="1">
      <alignment horizontal="center" vertical="center"/>
    </xf>
    <xf numFmtId="0" fontId="0" fillId="0" borderId="0" xfId="0" applyFill="1" applyAlignment="1">
      <alignment vertical="center"/>
    </xf>
    <xf numFmtId="0" fontId="28" fillId="0" borderId="2" xfId="0" applyFont="1" applyFill="1" applyBorder="1" applyAlignment="1">
      <alignment horizontal="left" vertical="center" wrapText="1"/>
    </xf>
    <xf numFmtId="43" fontId="2" fillId="0" borderId="2" xfId="1" applyNumberFormat="1" applyFont="1" applyFill="1" applyBorder="1" applyAlignment="1">
      <alignment horizontal="center" vertical="center"/>
    </xf>
    <xf numFmtId="43" fontId="0" fillId="0" borderId="0" xfId="1" applyNumberFormat="1" applyFont="1" applyAlignment="1">
      <alignment horizontal="center" vertical="center"/>
    </xf>
    <xf numFmtId="0" fontId="16" fillId="0" borderId="2" xfId="0" applyFont="1" applyFill="1" applyBorder="1" applyAlignment="1">
      <alignment horizontal="left" vertical="center" wrapText="1"/>
    </xf>
    <xf numFmtId="0" fontId="7" fillId="0" borderId="1" xfId="0" applyFont="1" applyFill="1" applyBorder="1" applyAlignment="1">
      <alignment horizontal="center" vertical="center"/>
    </xf>
    <xf numFmtId="3" fontId="6" fillId="0" borderId="2" xfId="3"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2" xfId="0" applyFont="1" applyFill="1" applyBorder="1" applyAlignment="1">
      <alignment vertical="center" wrapText="1"/>
    </xf>
    <xf numFmtId="164" fontId="29" fillId="0" borderId="2" xfId="1" applyNumberFormat="1" applyFont="1" applyFill="1" applyBorder="1" applyAlignment="1">
      <alignment vertical="center" wrapText="1"/>
    </xf>
    <xf numFmtId="43" fontId="29" fillId="0" borderId="2" xfId="1" applyNumberFormat="1" applyFont="1" applyFill="1" applyBorder="1" applyAlignment="1">
      <alignment horizontal="center" vertical="center" wrapText="1"/>
    </xf>
    <xf numFmtId="0" fontId="29" fillId="0" borderId="2" xfId="0" applyFont="1" applyBorder="1" applyAlignment="1">
      <alignment horizontal="left" vertical="center"/>
    </xf>
    <xf numFmtId="0" fontId="29" fillId="0" borderId="2" xfId="0" applyFont="1" applyBorder="1" applyAlignment="1">
      <alignment vertical="center" wrapText="1"/>
    </xf>
    <xf numFmtId="164" fontId="29" fillId="0" borderId="2" xfId="1" applyNumberFormat="1" applyFont="1" applyBorder="1" applyAlignment="1">
      <alignment vertical="center" wrapText="1"/>
    </xf>
    <xf numFmtId="43" fontId="29" fillId="0" borderId="2" xfId="1" applyNumberFormat="1" applyFont="1" applyBorder="1" applyAlignment="1">
      <alignment horizontal="center" vertical="center" wrapText="1"/>
    </xf>
    <xf numFmtId="0" fontId="22" fillId="0" borderId="0" xfId="0" applyFont="1" applyFill="1" applyAlignment="1">
      <alignment vertical="center"/>
    </xf>
    <xf numFmtId="43" fontId="29" fillId="0" borderId="2" xfId="1" applyNumberFormat="1" applyFont="1" applyBorder="1" applyAlignment="1">
      <alignment horizontal="center" vertical="center"/>
    </xf>
    <xf numFmtId="43" fontId="10" fillId="0" borderId="0" xfId="1" applyFont="1" applyAlignment="1">
      <alignment horizontal="center"/>
    </xf>
    <xf numFmtId="43" fontId="3" fillId="0" borderId="5" xfId="1" applyFont="1" applyBorder="1" applyAlignment="1">
      <alignment horizontal="center" vertical="center"/>
    </xf>
    <xf numFmtId="43" fontId="0" fillId="0" borderId="0" xfId="1" applyFont="1" applyAlignment="1">
      <alignment horizontal="center"/>
    </xf>
    <xf numFmtId="164" fontId="10" fillId="0" borderId="0" xfId="1" applyNumberFormat="1" applyFont="1" applyAlignment="1">
      <alignment horizontal="center"/>
    </xf>
    <xf numFmtId="164" fontId="0" fillId="0" borderId="0" xfId="1" applyNumberFormat="1" applyFont="1" applyAlignment="1">
      <alignment horizontal="center"/>
    </xf>
    <xf numFmtId="170" fontId="10" fillId="0" borderId="0" xfId="1" applyNumberFormat="1" applyFont="1" applyAlignment="1">
      <alignment horizontal="center"/>
    </xf>
    <xf numFmtId="170" fontId="3" fillId="0" borderId="5" xfId="1" applyNumberFormat="1" applyFont="1" applyBorder="1" applyAlignment="1">
      <alignment horizontal="center" vertical="center"/>
    </xf>
    <xf numFmtId="170" fontId="0" fillId="0" borderId="0" xfId="1" applyNumberFormat="1" applyFont="1" applyAlignment="1">
      <alignment horizontal="center"/>
    </xf>
    <xf numFmtId="0" fontId="17" fillId="0" borderId="3" xfId="0" applyFont="1" applyBorder="1" applyAlignment="1">
      <alignment horizontal="center" vertical="center" wrapText="1"/>
    </xf>
    <xf numFmtId="164" fontId="18" fillId="0" borderId="2" xfId="1" applyNumberFormat="1"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11" xfId="0" applyFont="1" applyBorder="1" applyAlignment="1">
      <alignment horizontal="center" vertical="center" wrapText="1"/>
    </xf>
    <xf numFmtId="0" fontId="7" fillId="0" borderId="2" xfId="0" applyFont="1" applyBorder="1" applyAlignment="1">
      <alignment vertical="center"/>
    </xf>
    <xf numFmtId="164" fontId="6" fillId="0" borderId="2" xfId="1" applyNumberFormat="1" applyFont="1" applyBorder="1" applyAlignment="1">
      <alignment vertical="center"/>
    </xf>
    <xf numFmtId="43" fontId="6" fillId="0" borderId="2" xfId="1" applyNumberFormat="1" applyFont="1" applyBorder="1" applyAlignment="1">
      <alignment vertical="center"/>
    </xf>
    <xf numFmtId="0" fontId="7" fillId="0" borderId="2" xfId="0" applyFont="1" applyBorder="1" applyAlignment="1">
      <alignment vertical="center" wrapText="1"/>
    </xf>
    <xf numFmtId="0" fontId="17" fillId="0" borderId="3" xfId="0" applyFont="1" applyFill="1" applyBorder="1" applyAlignment="1">
      <alignment horizontal="center" wrapText="1"/>
    </xf>
    <xf numFmtId="0" fontId="7" fillId="0" borderId="7" xfId="0" quotePrefix="1" applyFont="1" applyFill="1" applyBorder="1" applyAlignment="1">
      <alignment horizontal="center" vertical="center" wrapText="1"/>
    </xf>
    <xf numFmtId="43" fontId="9" fillId="0" borderId="0" xfId="1" applyFont="1" applyAlignment="1">
      <alignment horizontal="center"/>
    </xf>
    <xf numFmtId="0" fontId="17" fillId="0" borderId="3" xfId="0" applyFont="1" applyFill="1" applyBorder="1" applyAlignment="1">
      <alignment vertical="center" wrapText="1"/>
    </xf>
    <xf numFmtId="43" fontId="14" fillId="0" borderId="0" xfId="1" applyFont="1" applyAlignment="1">
      <alignment horizontal="center"/>
    </xf>
    <xf numFmtId="0" fontId="8" fillId="0" borderId="0" xfId="0" applyFont="1" applyAlignment="1">
      <alignment vertical="center"/>
    </xf>
    <xf numFmtId="0" fontId="0" fillId="0" borderId="0" xfId="0" applyFont="1" applyAlignment="1">
      <alignment vertical="center"/>
    </xf>
    <xf numFmtId="0" fontId="15" fillId="0" borderId="7" xfId="0" applyFont="1" applyFill="1" applyBorder="1" applyAlignment="1">
      <alignment horizontal="center" vertical="center" wrapText="1"/>
    </xf>
    <xf numFmtId="0" fontId="15" fillId="0" borderId="2" xfId="0" applyFont="1" applyBorder="1" applyAlignment="1">
      <alignment vertical="center" wrapText="1"/>
    </xf>
    <xf numFmtId="0" fontId="29" fillId="0"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2" fillId="0" borderId="0" xfId="0" applyFont="1" applyFill="1" applyBorder="1" applyAlignment="1">
      <alignment vertical="center"/>
    </xf>
    <xf numFmtId="164" fontId="2" fillId="0" borderId="0" xfId="1" applyNumberFormat="1" applyFont="1" applyFill="1" applyBorder="1" applyAlignment="1">
      <alignment horizontal="center" vertical="center"/>
    </xf>
    <xf numFmtId="43" fontId="2" fillId="0" borderId="0" xfId="1" applyFont="1" applyFill="1" applyBorder="1" applyAlignment="1">
      <alignment horizontal="center" vertical="center"/>
    </xf>
    <xf numFmtId="166" fontId="17" fillId="0" borderId="0" xfId="1" applyNumberFormat="1" applyFont="1" applyFill="1" applyBorder="1" applyAlignment="1">
      <alignment horizontal="center" vertical="center"/>
    </xf>
    <xf numFmtId="166" fontId="2" fillId="0" borderId="0" xfId="1" applyNumberFormat="1" applyFont="1" applyFill="1" applyBorder="1" applyAlignment="1">
      <alignment horizontal="center" vertical="center"/>
    </xf>
    <xf numFmtId="164" fontId="6" fillId="0" borderId="5" xfId="1" applyNumberFormat="1" applyFont="1" applyFill="1" applyBorder="1" applyAlignment="1">
      <alignment horizontal="center" vertical="center" wrapText="1"/>
    </xf>
    <xf numFmtId="167" fontId="6" fillId="0" borderId="5" xfId="4" applyNumberFormat="1" applyFont="1" applyFill="1" applyBorder="1" applyAlignment="1">
      <alignment horizontal="center" vertical="center" wrapText="1"/>
    </xf>
    <xf numFmtId="43" fontId="6" fillId="0" borderId="5" xfId="1" applyFont="1" applyFill="1" applyBorder="1" applyAlignment="1">
      <alignment horizontal="center" vertical="center"/>
    </xf>
    <xf numFmtId="0" fontId="17" fillId="0" borderId="7" xfId="0" applyFont="1" applyFill="1" applyBorder="1" applyAlignment="1">
      <alignment horizontal="center" vertical="center"/>
    </xf>
    <xf numFmtId="0" fontId="17" fillId="0" borderId="2" xfId="0" applyFont="1" applyFill="1" applyBorder="1" applyAlignment="1">
      <alignment horizontal="center" vertical="center"/>
    </xf>
    <xf numFmtId="3" fontId="17" fillId="0" borderId="2" xfId="0" applyNumberFormat="1" applyFont="1" applyFill="1" applyBorder="1" applyAlignment="1">
      <alignment horizontal="center" vertical="center"/>
    </xf>
    <xf numFmtId="43" fontId="17" fillId="0" borderId="2" xfId="1" applyFont="1" applyFill="1" applyBorder="1" applyAlignment="1">
      <alignment horizontal="center" vertical="center"/>
    </xf>
    <xf numFmtId="0" fontId="17" fillId="0" borderId="3" xfId="5" applyFont="1" applyFill="1" applyBorder="1" applyAlignment="1">
      <alignment horizontal="center" vertical="center"/>
    </xf>
    <xf numFmtId="0" fontId="31" fillId="0" borderId="0" xfId="0" applyFont="1"/>
    <xf numFmtId="0" fontId="24" fillId="0" borderId="0" xfId="0" applyFont="1" applyAlignment="1">
      <alignment horizontal="center"/>
    </xf>
    <xf numFmtId="164" fontId="24" fillId="0" borderId="0" xfId="1" applyNumberFormat="1" applyFont="1" applyAlignment="1">
      <alignment horizontal="center"/>
    </xf>
    <xf numFmtId="43" fontId="24" fillId="0" borderId="0" xfId="1" applyFont="1" applyAlignment="1">
      <alignment horizontal="center"/>
    </xf>
    <xf numFmtId="0" fontId="29" fillId="0" borderId="2" xfId="0" applyFont="1" applyFill="1" applyBorder="1" applyAlignment="1">
      <alignment horizontal="center" vertical="center"/>
    </xf>
    <xf numFmtId="0" fontId="14" fillId="0" borderId="3" xfId="0" applyFont="1" applyBorder="1" applyAlignment="1">
      <alignment horizontal="center" vertical="center" wrapText="1"/>
    </xf>
    <xf numFmtId="0" fontId="2" fillId="0" borderId="2" xfId="0" applyFont="1" applyFill="1" applyBorder="1" applyAlignment="1">
      <alignment vertical="center"/>
    </xf>
    <xf numFmtId="43" fontId="7" fillId="0" borderId="2" xfId="1" applyNumberFormat="1" applyFont="1" applyFill="1" applyBorder="1" applyAlignment="1">
      <alignment horizontal="center" vertical="center"/>
    </xf>
    <xf numFmtId="164" fontId="2" fillId="0" borderId="2" xfId="1" applyNumberFormat="1" applyFont="1" applyFill="1" applyBorder="1" applyAlignment="1">
      <alignment horizontal="center" vertical="center"/>
    </xf>
    <xf numFmtId="43" fontId="2" fillId="0" borderId="2" xfId="1" applyFont="1" applyFill="1" applyBorder="1" applyAlignment="1">
      <alignment horizontal="center" vertical="center"/>
    </xf>
    <xf numFmtId="43" fontId="18" fillId="0" borderId="2" xfId="1" applyNumberFormat="1" applyFont="1" applyFill="1" applyBorder="1" applyAlignment="1">
      <alignment horizontal="center" vertical="center"/>
    </xf>
    <xf numFmtId="0" fontId="17" fillId="0" borderId="2" xfId="0"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43" fontId="15" fillId="0" borderId="2" xfId="0" applyNumberFormat="1" applyFont="1" applyFill="1" applyBorder="1" applyAlignment="1">
      <alignment horizontal="center" vertical="center"/>
    </xf>
    <xf numFmtId="0" fontId="16" fillId="0" borderId="2" xfId="0" applyFont="1" applyFill="1" applyBorder="1" applyAlignment="1">
      <alignment horizontal="center" vertical="center" wrapText="1"/>
    </xf>
    <xf numFmtId="0" fontId="29" fillId="0" borderId="2" xfId="0" applyFont="1" applyFill="1" applyBorder="1" applyAlignment="1">
      <alignment horizontal="center" vertical="center" wrapText="1"/>
    </xf>
    <xf numFmtId="43" fontId="29" fillId="0" borderId="2" xfId="1" applyNumberFormat="1" applyFont="1" applyFill="1" applyBorder="1" applyAlignment="1">
      <alignment horizontal="center" vertical="center"/>
    </xf>
    <xf numFmtId="0" fontId="17" fillId="0" borderId="2" xfId="0" applyFont="1" applyFill="1" applyBorder="1" applyAlignment="1">
      <alignment vertical="center" wrapText="1"/>
    </xf>
    <xf numFmtId="49" fontId="16" fillId="0" borderId="2" xfId="1" applyNumberFormat="1" applyFont="1" applyFill="1" applyBorder="1" applyAlignment="1">
      <alignment horizontal="center" vertical="center"/>
    </xf>
    <xf numFmtId="165" fontId="2" fillId="0" borderId="2" xfId="0" applyNumberFormat="1" applyFont="1" applyFill="1" applyBorder="1" applyAlignment="1">
      <alignment horizontal="center" vertical="center"/>
    </xf>
    <xf numFmtId="0" fontId="30"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43" fontId="6" fillId="0" borderId="6" xfId="1" applyFont="1" applyFill="1" applyBorder="1" applyAlignment="1">
      <alignment horizontal="center" vertical="center" wrapText="1"/>
    </xf>
    <xf numFmtId="43" fontId="6" fillId="0" borderId="6" xfId="1" applyNumberFormat="1" applyFont="1" applyFill="1" applyBorder="1" applyAlignment="1">
      <alignment horizontal="center" vertical="center"/>
    </xf>
    <xf numFmtId="0" fontId="6" fillId="0" borderId="12" xfId="0" applyFont="1" applyFill="1" applyBorder="1" applyAlignment="1">
      <alignment horizontal="center" vertical="center"/>
    </xf>
    <xf numFmtId="0" fontId="7" fillId="0" borderId="2" xfId="0" applyFont="1" applyFill="1" applyBorder="1" applyAlignment="1">
      <alignment vertical="center" wrapText="1"/>
    </xf>
    <xf numFmtId="0" fontId="7" fillId="0" borderId="2" xfId="0" applyFont="1" applyFill="1" applyBorder="1" applyAlignment="1">
      <alignment vertical="center"/>
    </xf>
    <xf numFmtId="43" fontId="7" fillId="0" borderId="2" xfId="0" applyNumberFormat="1" applyFont="1" applyFill="1" applyBorder="1" applyAlignment="1">
      <alignment horizontal="center" vertical="center" wrapText="1"/>
    </xf>
    <xf numFmtId="43" fontId="7" fillId="0" borderId="2" xfId="1" applyNumberFormat="1" applyFont="1" applyFill="1" applyBorder="1" applyAlignment="1">
      <alignment horizontal="center" vertical="center" wrapText="1"/>
    </xf>
    <xf numFmtId="0" fontId="7" fillId="0" borderId="0" xfId="0" applyFont="1" applyFill="1" applyAlignment="1">
      <alignment horizontal="center" vertical="center"/>
    </xf>
    <xf numFmtId="164" fontId="7" fillId="0" borderId="2" xfId="1" applyNumberFormat="1" applyFont="1" applyFill="1" applyBorder="1" applyAlignment="1">
      <alignment horizontal="center" vertical="center"/>
    </xf>
    <xf numFmtId="43" fontId="7" fillId="0" borderId="2" xfId="1" applyFont="1" applyFill="1" applyBorder="1" applyAlignment="1">
      <alignment horizontal="center" vertical="center"/>
    </xf>
    <xf numFmtId="170" fontId="7" fillId="0" borderId="2" xfId="1" applyNumberFormat="1" applyFont="1" applyFill="1" applyBorder="1" applyAlignment="1">
      <alignment horizontal="center" vertical="center"/>
    </xf>
    <xf numFmtId="0" fontId="17" fillId="0" borderId="3" xfId="0" applyFont="1" applyFill="1" applyBorder="1" applyAlignment="1">
      <alignment horizontal="center" vertical="center"/>
    </xf>
    <xf numFmtId="0" fontId="2" fillId="0" borderId="7" xfId="0" quotePrefix="1" applyFont="1" applyFill="1" applyBorder="1" applyAlignment="1">
      <alignment horizontal="center" vertical="center"/>
    </xf>
    <xf numFmtId="170" fontId="2" fillId="0" borderId="2" xfId="1" applyNumberFormat="1" applyFont="1" applyFill="1" applyBorder="1" applyAlignment="1">
      <alignment horizontal="center" vertical="center"/>
    </xf>
    <xf numFmtId="0" fontId="17" fillId="0" borderId="3" xfId="0" applyFont="1" applyFill="1" applyBorder="1" applyAlignment="1">
      <alignment vertical="center"/>
    </xf>
    <xf numFmtId="164" fontId="29" fillId="0" borderId="2" xfId="1" applyNumberFormat="1" applyFont="1" applyFill="1" applyBorder="1" applyAlignment="1">
      <alignment horizontal="center" vertical="center"/>
    </xf>
    <xf numFmtId="43" fontId="29" fillId="0" borderId="2" xfId="1" applyFont="1" applyFill="1" applyBorder="1" applyAlignment="1">
      <alignment horizontal="center" vertical="center"/>
    </xf>
    <xf numFmtId="0" fontId="17" fillId="0" borderId="11" xfId="0" applyFont="1" applyFill="1" applyBorder="1" applyAlignment="1">
      <alignment horizontal="center" vertical="center" wrapText="1"/>
    </xf>
    <xf numFmtId="43" fontId="17" fillId="0" borderId="3" xfId="1" applyFont="1" applyFill="1" applyBorder="1" applyAlignment="1">
      <alignment horizontal="center" vertical="center"/>
    </xf>
    <xf numFmtId="164" fontId="2" fillId="0" borderId="4" xfId="1" applyNumberFormat="1" applyFont="1" applyFill="1" applyBorder="1" applyAlignment="1">
      <alignment horizontal="center" vertical="center"/>
    </xf>
    <xf numFmtId="43" fontId="2" fillId="0" borderId="4" xfId="1" applyFont="1" applyFill="1" applyBorder="1" applyAlignment="1">
      <alignment horizontal="center" vertical="center"/>
    </xf>
    <xf numFmtId="0" fontId="6" fillId="0" borderId="10" xfId="0" applyFont="1" applyFill="1" applyBorder="1" applyAlignment="1">
      <alignment horizontal="center" vertical="center"/>
    </xf>
    <xf numFmtId="0" fontId="6" fillId="0" borderId="4" xfId="0" applyFont="1" applyFill="1" applyBorder="1" applyAlignment="1">
      <alignment vertical="center" wrapText="1"/>
    </xf>
    <xf numFmtId="43" fontId="6" fillId="0" borderId="2" xfId="1" applyFont="1" applyFill="1" applyBorder="1" applyAlignment="1">
      <alignment horizontal="center" vertical="center"/>
    </xf>
    <xf numFmtId="43" fontId="7" fillId="0" borderId="4" xfId="1" applyFont="1" applyFill="1" applyBorder="1" applyAlignment="1">
      <alignment horizontal="center" vertical="center"/>
    </xf>
    <xf numFmtId="0" fontId="7" fillId="0" borderId="4" xfId="0" applyFont="1" applyFill="1" applyBorder="1" applyAlignment="1">
      <alignment vertical="center"/>
    </xf>
    <xf numFmtId="0" fontId="7" fillId="0" borderId="4" xfId="0" applyFont="1" applyFill="1" applyBorder="1" applyAlignment="1">
      <alignment horizontal="center" vertical="center"/>
    </xf>
    <xf numFmtId="0" fontId="30" fillId="0" borderId="3" xfId="0" applyFont="1" applyBorder="1" applyAlignment="1">
      <alignment horizontal="center" vertical="center" wrapText="1"/>
    </xf>
    <xf numFmtId="0" fontId="7" fillId="0" borderId="2" xfId="0" applyFont="1" applyFill="1" applyBorder="1" applyAlignment="1">
      <alignment horizontal="left" vertical="center"/>
    </xf>
    <xf numFmtId="0" fontId="7" fillId="0" borderId="2" xfId="0" applyFont="1" applyBorder="1" applyAlignment="1">
      <alignment horizontal="left" vertical="center"/>
    </xf>
    <xf numFmtId="0" fontId="15" fillId="0" borderId="2" xfId="0" applyFont="1" applyFill="1" applyBorder="1" applyAlignment="1">
      <alignment vertical="center" wrapText="1"/>
    </xf>
    <xf numFmtId="43" fontId="15" fillId="0" borderId="2" xfId="1" applyFont="1" applyFill="1" applyBorder="1" applyAlignment="1">
      <alignment vertical="center"/>
    </xf>
    <xf numFmtId="170" fontId="7" fillId="0" borderId="2" xfId="1" applyNumberFormat="1" applyFont="1" applyFill="1" applyBorder="1" applyAlignment="1">
      <alignment vertical="center"/>
    </xf>
    <xf numFmtId="43" fontId="7" fillId="0" borderId="2" xfId="1" applyFont="1" applyFill="1" applyBorder="1" applyAlignment="1">
      <alignment vertical="center"/>
    </xf>
    <xf numFmtId="0" fontId="30" fillId="0" borderId="3" xfId="0" applyFont="1" applyFill="1" applyBorder="1" applyAlignment="1">
      <alignment horizontal="center" vertical="center"/>
    </xf>
    <xf numFmtId="164" fontId="2" fillId="0" borderId="2" xfId="1" applyNumberFormat="1" applyFont="1" applyFill="1" applyBorder="1" applyAlignment="1">
      <alignment vertical="center"/>
    </xf>
    <xf numFmtId="170" fontId="2" fillId="0" borderId="2" xfId="1" applyNumberFormat="1" applyFont="1" applyFill="1" applyBorder="1" applyAlignment="1">
      <alignment vertical="center"/>
    </xf>
    <xf numFmtId="164" fontId="7" fillId="0" borderId="2" xfId="1" applyNumberFormat="1" applyFont="1" applyFill="1" applyBorder="1" applyAlignment="1">
      <alignment vertical="center"/>
    </xf>
    <xf numFmtId="164" fontId="6" fillId="0" borderId="2" xfId="1" applyNumberFormat="1" applyFont="1" applyFill="1" applyBorder="1" applyAlignment="1">
      <alignment vertical="center"/>
    </xf>
    <xf numFmtId="43" fontId="2" fillId="0" borderId="2" xfId="1" applyFont="1" applyFill="1" applyBorder="1" applyAlignment="1">
      <alignment vertical="center"/>
    </xf>
    <xf numFmtId="43" fontId="6" fillId="0" borderId="2" xfId="1" applyFont="1" applyFill="1" applyBorder="1" applyAlignment="1">
      <alignment vertical="center"/>
    </xf>
    <xf numFmtId="0" fontId="2" fillId="0" borderId="2" xfId="0" applyFont="1" applyFill="1" applyBorder="1" applyAlignment="1">
      <alignment horizontal="center"/>
    </xf>
    <xf numFmtId="0" fontId="17" fillId="0" borderId="3" xfId="0" applyFont="1" applyFill="1" applyBorder="1" applyAlignment="1">
      <alignment horizontal="center"/>
    </xf>
    <xf numFmtId="43" fontId="30" fillId="0" borderId="3" xfId="1" applyFont="1" applyFill="1" applyBorder="1" applyAlignment="1">
      <alignment horizontal="center" vertical="center"/>
    </xf>
    <xf numFmtId="0" fontId="6" fillId="0" borderId="4" xfId="0" applyFont="1" applyFill="1" applyBorder="1" applyAlignment="1">
      <alignment horizontal="center" vertical="center"/>
    </xf>
    <xf numFmtId="0" fontId="6" fillId="0" borderId="4" xfId="0" applyFont="1" applyFill="1" applyBorder="1" applyAlignment="1">
      <alignment vertical="center"/>
    </xf>
    <xf numFmtId="43" fontId="6" fillId="0" borderId="4" xfId="1" applyFont="1" applyFill="1" applyBorder="1" applyAlignment="1">
      <alignment vertical="center"/>
    </xf>
    <xf numFmtId="0" fontId="30" fillId="0" borderId="11" xfId="0" applyFont="1" applyFill="1" applyBorder="1" applyAlignment="1">
      <alignment horizontal="center" vertical="center"/>
    </xf>
    <xf numFmtId="0" fontId="2" fillId="0" borderId="4" xfId="0" applyFont="1" applyFill="1" applyBorder="1" applyAlignment="1">
      <alignment vertical="center"/>
    </xf>
    <xf numFmtId="0" fontId="17" fillId="0" borderId="11" xfId="0" applyFont="1" applyFill="1" applyBorder="1" applyAlignment="1">
      <alignment horizontal="center" vertical="center"/>
    </xf>
    <xf numFmtId="164" fontId="6" fillId="0" borderId="5" xfId="1" applyNumberFormat="1" applyFont="1" applyFill="1" applyBorder="1" applyAlignment="1">
      <alignment horizontal="center" vertical="center"/>
    </xf>
    <xf numFmtId="0" fontId="6" fillId="0" borderId="9" xfId="0" applyFont="1" applyFill="1" applyBorder="1" applyAlignment="1">
      <alignment horizontal="center" vertical="center"/>
    </xf>
    <xf numFmtId="43" fontId="17" fillId="0" borderId="3" xfId="1" applyFont="1" applyFill="1" applyBorder="1" applyAlignment="1">
      <alignment horizontal="center" vertical="center" wrapText="1"/>
    </xf>
    <xf numFmtId="171" fontId="2" fillId="0" borderId="2" xfId="0" applyNumberFormat="1" applyFont="1" applyFill="1" applyBorder="1" applyAlignment="1">
      <alignment horizontal="center" vertical="center"/>
    </xf>
    <xf numFmtId="0" fontId="6" fillId="0" borderId="7" xfId="0" applyFont="1" applyFill="1" applyBorder="1" applyAlignment="1">
      <alignment horizontal="center" vertical="center"/>
    </xf>
    <xf numFmtId="49" fontId="30" fillId="0" borderId="3" xfId="1" applyNumberFormat="1" applyFont="1" applyFill="1" applyBorder="1" applyAlignment="1">
      <alignment horizontal="center" vertical="center"/>
    </xf>
    <xf numFmtId="0" fontId="2" fillId="0" borderId="5" xfId="0" applyFont="1" applyFill="1" applyBorder="1" applyAlignment="1">
      <alignment horizontal="center" vertical="center"/>
    </xf>
    <xf numFmtId="2" fontId="6" fillId="0" borderId="2" xfId="0" applyNumberFormat="1" applyFont="1" applyFill="1" applyBorder="1" applyAlignment="1">
      <alignment horizontal="center" vertical="center"/>
    </xf>
    <xf numFmtId="0" fontId="7" fillId="0" borderId="7" xfId="0" applyFont="1" applyBorder="1" applyAlignment="1">
      <alignment horizontal="center"/>
    </xf>
    <xf numFmtId="0" fontId="7" fillId="0" borderId="2" xfId="0" applyFont="1" applyBorder="1"/>
    <xf numFmtId="0" fontId="7" fillId="0" borderId="2" xfId="0" applyFont="1" applyBorder="1" applyAlignment="1">
      <alignment horizontal="center"/>
    </xf>
    <xf numFmtId="0" fontId="7" fillId="0" borderId="2" xfId="0" applyFont="1" applyBorder="1" applyAlignment="1">
      <alignment wrapText="1"/>
    </xf>
    <xf numFmtId="164" fontId="7" fillId="0" borderId="2" xfId="1" applyNumberFormat="1" applyFont="1" applyBorder="1"/>
    <xf numFmtId="43" fontId="7" fillId="0" borderId="2" xfId="1" applyNumberFormat="1" applyFont="1" applyBorder="1" applyAlignment="1">
      <alignment wrapText="1"/>
    </xf>
    <xf numFmtId="43" fontId="7" fillId="0" borderId="2" xfId="1" applyNumberFormat="1" applyFont="1" applyBorder="1"/>
    <xf numFmtId="0" fontId="7" fillId="0" borderId="3" xfId="0" applyFont="1" applyBorder="1"/>
    <xf numFmtId="0" fontId="29" fillId="0" borderId="3" xfId="0" applyFont="1" applyBorder="1" applyAlignment="1">
      <alignment horizontal="center" vertical="center"/>
    </xf>
    <xf numFmtId="164" fontId="7" fillId="0" borderId="2" xfId="1" applyNumberFormat="1" applyFont="1" applyBorder="1" applyAlignment="1">
      <alignment vertical="center" wrapText="1"/>
    </xf>
    <xf numFmtId="43" fontId="7" fillId="0" borderId="2" xfId="1" applyNumberFormat="1" applyFont="1" applyBorder="1" applyAlignment="1">
      <alignment vertical="center" wrapText="1"/>
    </xf>
    <xf numFmtId="0" fontId="29" fillId="0" borderId="3" xfId="0" applyFont="1" applyFill="1" applyBorder="1" applyAlignment="1">
      <alignment horizontal="center" vertical="center"/>
    </xf>
    <xf numFmtId="168" fontId="2" fillId="0" borderId="2" xfId="0" applyNumberFormat="1" applyFont="1" applyFill="1" applyBorder="1" applyAlignment="1">
      <alignment horizontal="center" vertical="center" wrapText="1"/>
    </xf>
    <xf numFmtId="0" fontId="7" fillId="0" borderId="3" xfId="0" applyFont="1" applyBorder="1" applyAlignment="1">
      <alignment vertical="center"/>
    </xf>
    <xf numFmtId="0" fontId="2" fillId="0" borderId="3" xfId="0" applyFont="1" applyFill="1" applyBorder="1" applyAlignment="1">
      <alignment vertical="center"/>
    </xf>
    <xf numFmtId="166" fontId="2" fillId="0" borderId="2" xfId="0" applyNumberFormat="1" applyFont="1" applyFill="1" applyBorder="1" applyAlignment="1">
      <alignment vertical="center"/>
    </xf>
    <xf numFmtId="43" fontId="15" fillId="0" borderId="2" xfId="1" applyNumberFormat="1" applyFont="1" applyFill="1" applyBorder="1" applyAlignment="1">
      <alignment horizontal="center" vertical="center"/>
    </xf>
    <xf numFmtId="0" fontId="15" fillId="0" borderId="2" xfId="0" applyFont="1" applyFill="1" applyBorder="1" applyAlignment="1">
      <alignment vertical="center"/>
    </xf>
    <xf numFmtId="43" fontId="6" fillId="0" borderId="2" xfId="1" applyNumberFormat="1" applyFont="1" applyBorder="1" applyAlignment="1">
      <alignment vertical="center" wrapText="1"/>
    </xf>
    <xf numFmtId="0" fontId="28" fillId="0" borderId="3" xfId="0" applyFont="1" applyBorder="1" applyAlignment="1">
      <alignment vertical="center" wrapText="1"/>
    </xf>
    <xf numFmtId="43" fontId="15" fillId="0" borderId="2" xfId="1" applyFont="1" applyFill="1" applyBorder="1" applyAlignment="1">
      <alignment horizontal="center" vertical="center"/>
    </xf>
    <xf numFmtId="0" fontId="29" fillId="0" borderId="0" xfId="0" applyFont="1" applyFill="1" applyBorder="1" applyAlignment="1">
      <alignment horizontal="center" vertical="center"/>
    </xf>
    <xf numFmtId="164" fontId="15" fillId="0" borderId="2" xfId="1" applyNumberFormat="1" applyFont="1" applyFill="1" applyBorder="1" applyAlignment="1">
      <alignment horizontal="center" vertical="center"/>
    </xf>
    <xf numFmtId="0" fontId="15" fillId="0" borderId="0" xfId="0" applyFont="1" applyFill="1" applyBorder="1" applyAlignment="1">
      <alignment horizontal="center" vertical="center"/>
    </xf>
    <xf numFmtId="0" fontId="16" fillId="0" borderId="3" xfId="0" applyFont="1" applyFill="1" applyBorder="1" applyAlignment="1">
      <alignment horizontal="center" vertical="center"/>
    </xf>
    <xf numFmtId="0" fontId="29" fillId="0" borderId="2" xfId="0" applyFont="1" applyFill="1" applyBorder="1" applyAlignment="1">
      <alignment vertical="center"/>
    </xf>
    <xf numFmtId="164" fontId="29" fillId="0" borderId="2" xfId="1" applyNumberFormat="1" applyFont="1" applyFill="1" applyBorder="1" applyAlignment="1">
      <alignment vertical="center"/>
    </xf>
    <xf numFmtId="0" fontId="16" fillId="0" borderId="0" xfId="0" applyFont="1" applyFill="1" applyAlignment="1">
      <alignment wrapText="1"/>
    </xf>
    <xf numFmtId="164" fontId="15" fillId="0" borderId="2" xfId="1" applyNumberFormat="1" applyFont="1" applyFill="1" applyBorder="1" applyAlignment="1">
      <alignment vertical="center"/>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43" fontId="2" fillId="0" borderId="4" xfId="1" applyNumberFormat="1" applyFont="1" applyFill="1" applyBorder="1" applyAlignment="1">
      <alignment horizontal="center" vertical="center"/>
    </xf>
    <xf numFmtId="43" fontId="17" fillId="0" borderId="11" xfId="1" applyFont="1" applyFill="1" applyBorder="1" applyAlignment="1">
      <alignment horizontal="center" vertical="center"/>
    </xf>
    <xf numFmtId="0" fontId="7" fillId="0" borderId="10" xfId="0" applyFont="1" applyFill="1" applyBorder="1" applyAlignment="1">
      <alignment horizontal="center" vertical="center" wrapText="1"/>
    </xf>
    <xf numFmtId="164" fontId="7" fillId="0" borderId="2" xfId="1" applyNumberFormat="1" applyFont="1" applyFill="1" applyBorder="1" applyAlignment="1">
      <alignment horizontal="center" vertical="center" wrapText="1"/>
    </xf>
    <xf numFmtId="170" fontId="7" fillId="0" borderId="2" xfId="1" applyNumberFormat="1" applyFont="1" applyFill="1" applyBorder="1" applyAlignment="1">
      <alignment horizontal="center" vertical="center" wrapText="1"/>
    </xf>
    <xf numFmtId="172" fontId="2" fillId="0" borderId="2" xfId="0" applyNumberFormat="1" applyFont="1" applyBorder="1" applyAlignment="1">
      <alignment vertical="center"/>
    </xf>
    <xf numFmtId="164" fontId="6" fillId="0" borderId="2" xfId="1" applyNumberFormat="1" applyFont="1" applyFill="1" applyBorder="1" applyAlignment="1">
      <alignment horizontal="center" vertical="center"/>
    </xf>
    <xf numFmtId="0" fontId="14" fillId="0" borderId="0" xfId="0" applyFont="1" applyAlignment="1">
      <alignment horizontal="center" vertical="center" wrapText="1"/>
    </xf>
    <xf numFmtId="0" fontId="17" fillId="0" borderId="3" xfId="0" applyFont="1" applyBorder="1" applyAlignment="1">
      <alignment horizontal="center" wrapText="1"/>
    </xf>
    <xf numFmtId="0" fontId="14" fillId="0" borderId="0" xfId="0" applyFont="1" applyAlignment="1">
      <alignment horizontal="center" wrapText="1"/>
    </xf>
    <xf numFmtId="0" fontId="17" fillId="0" borderId="3" xfId="0" applyFont="1" applyFill="1" applyBorder="1" applyAlignment="1">
      <alignment wrapText="1"/>
    </xf>
    <xf numFmtId="0" fontId="6" fillId="0" borderId="2" xfId="3" applyFont="1" applyFill="1" applyBorder="1" applyAlignment="1">
      <alignment horizontal="center" vertical="center" wrapText="1"/>
    </xf>
    <xf numFmtId="170" fontId="2" fillId="0" borderId="4" xfId="1" applyNumberFormat="1" applyFont="1" applyFill="1" applyBorder="1" applyAlignment="1">
      <alignment horizontal="center" vertical="center"/>
    </xf>
    <xf numFmtId="43" fontId="2" fillId="0" borderId="4" xfId="1" applyFont="1" applyFill="1" applyBorder="1" applyAlignment="1">
      <alignment vertical="center"/>
    </xf>
    <xf numFmtId="0" fontId="35" fillId="0" borderId="0" xfId="0" applyFont="1"/>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Border="1" applyAlignment="1">
      <alignment horizontal="center" vertical="center"/>
    </xf>
    <xf numFmtId="166" fontId="2" fillId="0" borderId="0" xfId="0" applyNumberFormat="1" applyFont="1" applyBorder="1" applyAlignment="1">
      <alignment vertical="center"/>
    </xf>
    <xf numFmtId="0" fontId="2" fillId="0" borderId="0" xfId="0" applyFont="1" applyBorder="1" applyAlignment="1">
      <alignment vertical="center"/>
    </xf>
    <xf numFmtId="0" fontId="35" fillId="0" borderId="0" xfId="0" applyFont="1" applyAlignment="1">
      <alignment vertical="center"/>
    </xf>
    <xf numFmtId="0" fontId="7" fillId="0" borderId="0" xfId="0" applyFont="1" applyFill="1" applyBorder="1" applyAlignment="1">
      <alignment horizontal="left" vertical="center" wrapText="1"/>
    </xf>
    <xf numFmtId="0" fontId="9" fillId="0" borderId="0" xfId="0" applyFont="1"/>
    <xf numFmtId="0" fontId="25" fillId="0" borderId="0" xfId="0" applyFont="1" applyBorder="1" applyAlignment="1">
      <alignment horizontal="center" vertical="center" wrapTex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Border="1" applyAlignment="1">
      <alignment horizontal="center" vertical="center"/>
    </xf>
    <xf numFmtId="3" fontId="6" fillId="0" borderId="2" xfId="3" applyNumberFormat="1"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0" xfId="0" applyFont="1" applyFill="1" applyBorder="1" applyAlignment="1">
      <alignment vertical="center" wrapText="1"/>
    </xf>
    <xf numFmtId="0" fontId="25" fillId="0" borderId="0" xfId="0" applyFont="1" applyFill="1" applyAlignment="1">
      <alignment vertical="center" wrapText="1"/>
    </xf>
    <xf numFmtId="0" fontId="25" fillId="0" borderId="0" xfId="0" applyFont="1" applyFill="1" applyBorder="1" applyAlignment="1">
      <alignment horizontal="center" vertical="center" wrapText="1"/>
    </xf>
    <xf numFmtId="164" fontId="25" fillId="0" borderId="0" xfId="1" applyNumberFormat="1" applyFont="1" applyFill="1" applyBorder="1"/>
    <xf numFmtId="0" fontId="25" fillId="0" borderId="0" xfId="0" applyFont="1" applyFill="1" applyAlignment="1">
      <alignment horizontal="center" vertical="center" wrapText="1"/>
    </xf>
    <xf numFmtId="43" fontId="2" fillId="0" borderId="2" xfId="1" applyFont="1" applyBorder="1" applyAlignment="1">
      <alignment horizontal="center" vertical="center"/>
    </xf>
    <xf numFmtId="0" fontId="13" fillId="0" borderId="0" xfId="0" applyFont="1"/>
    <xf numFmtId="0" fontId="7" fillId="0" borderId="9" xfId="3" applyNumberFormat="1" applyFont="1" applyFill="1" applyBorder="1" applyAlignment="1">
      <alignment horizontal="center" vertical="center" wrapText="1"/>
    </xf>
    <xf numFmtId="0" fontId="36" fillId="0" borderId="0" xfId="0" applyFont="1"/>
    <xf numFmtId="43" fontId="29" fillId="0" borderId="2" xfId="0" applyNumberFormat="1" applyFont="1" applyFill="1" applyBorder="1" applyAlignment="1">
      <alignment horizontal="center" vertical="center"/>
    </xf>
    <xf numFmtId="43" fontId="2" fillId="3" borderId="2" xfId="1" applyNumberFormat="1" applyFont="1" applyFill="1" applyBorder="1" applyAlignment="1">
      <alignment horizontal="center" vertical="center"/>
    </xf>
    <xf numFmtId="43" fontId="6" fillId="0" borderId="2" xfId="1" applyNumberFormat="1" applyFont="1" applyFill="1" applyBorder="1" applyAlignment="1">
      <alignment horizontal="center" vertical="center"/>
    </xf>
    <xf numFmtId="0" fontId="17" fillId="3" borderId="2" xfId="0" applyFont="1" applyFill="1" applyBorder="1" applyAlignment="1">
      <alignment horizontal="center" vertical="center" wrapText="1"/>
    </xf>
    <xf numFmtId="0" fontId="39" fillId="0" borderId="2" xfId="0" applyFont="1" applyFill="1" applyBorder="1" applyAlignment="1">
      <alignment vertical="center"/>
    </xf>
    <xf numFmtId="0" fontId="40" fillId="0" borderId="2" xfId="0" applyFont="1" applyFill="1" applyBorder="1" applyAlignment="1">
      <alignment horizontal="center" vertical="center" wrapText="1"/>
    </xf>
    <xf numFmtId="43" fontId="7" fillId="3" borderId="2" xfId="1" applyNumberFormat="1" applyFont="1" applyFill="1" applyBorder="1" applyAlignment="1">
      <alignment horizontal="center" vertical="center"/>
    </xf>
    <xf numFmtId="43" fontId="7" fillId="3" borderId="2" xfId="1" applyFont="1" applyFill="1" applyBorder="1" applyAlignment="1">
      <alignment horizontal="center" vertical="center"/>
    </xf>
    <xf numFmtId="0" fontId="6" fillId="3" borderId="2" xfId="0" applyFont="1" applyFill="1" applyBorder="1" applyAlignment="1">
      <alignment vertical="center" wrapText="1"/>
    </xf>
    <xf numFmtId="43" fontId="7" fillId="0" borderId="4" xfId="1" applyNumberFormat="1" applyFont="1" applyFill="1" applyBorder="1" applyAlignment="1">
      <alignment horizontal="center" vertical="center"/>
    </xf>
    <xf numFmtId="0" fontId="30" fillId="0" borderId="3"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39" fillId="3" borderId="2" xfId="0" applyFont="1" applyFill="1" applyBorder="1" applyAlignment="1">
      <alignment vertical="center"/>
    </xf>
    <xf numFmtId="43" fontId="29" fillId="0" borderId="2" xfId="1" applyFont="1" applyFill="1" applyBorder="1" applyAlignment="1">
      <alignment vertical="center"/>
    </xf>
    <xf numFmtId="43" fontId="7" fillId="3" borderId="2" xfId="1" applyFont="1" applyFill="1" applyBorder="1" applyAlignment="1">
      <alignment vertical="center"/>
    </xf>
    <xf numFmtId="0" fontId="40" fillId="0" borderId="3" xfId="0" applyFont="1" applyFill="1" applyBorder="1" applyAlignment="1">
      <alignment horizontal="center" vertical="center"/>
    </xf>
    <xf numFmtId="43" fontId="7" fillId="0" borderId="3" xfId="1" applyFont="1" applyFill="1" applyBorder="1" applyAlignment="1">
      <alignment horizontal="center" vertical="center"/>
    </xf>
    <xf numFmtId="0" fontId="41" fillId="0" borderId="3" xfId="0" applyFont="1" applyFill="1" applyBorder="1" applyAlignment="1">
      <alignment horizontal="center" vertical="center"/>
    </xf>
    <xf numFmtId="0" fontId="41" fillId="0" borderId="3" xfId="0" applyFont="1" applyFill="1" applyBorder="1" applyAlignment="1">
      <alignment vertical="center"/>
    </xf>
    <xf numFmtId="0" fontId="41" fillId="0" borderId="3" xfId="0" applyFont="1" applyFill="1" applyBorder="1" applyAlignment="1">
      <alignment horizontal="left" vertical="center" wrapText="1"/>
    </xf>
    <xf numFmtId="0" fontId="41" fillId="0" borderId="3" xfId="0" applyFont="1" applyFill="1" applyBorder="1" applyAlignment="1">
      <alignment horizontal="center" vertical="center" wrapText="1"/>
    </xf>
    <xf numFmtId="0" fontId="42" fillId="0" borderId="2" xfId="0" applyFont="1" applyFill="1" applyBorder="1" applyAlignment="1">
      <alignment horizontal="center" vertical="center"/>
    </xf>
    <xf numFmtId="0" fontId="42" fillId="0" borderId="3" xfId="0" applyFont="1" applyFill="1" applyBorder="1" applyAlignment="1">
      <alignment vertical="center"/>
    </xf>
    <xf numFmtId="0" fontId="42" fillId="0" borderId="2"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2" fillId="0" borderId="3" xfId="0" applyFont="1" applyFill="1" applyBorder="1" applyAlignment="1">
      <alignment horizontal="center" vertical="center"/>
    </xf>
    <xf numFmtId="0" fontId="41" fillId="0" borderId="3" xfId="0" applyFont="1" applyFill="1" applyBorder="1" applyAlignment="1">
      <alignment vertical="center" wrapText="1"/>
    </xf>
    <xf numFmtId="49" fontId="42" fillId="0" borderId="2" xfId="1" applyNumberFormat="1" applyFont="1" applyFill="1" applyBorder="1" applyAlignment="1">
      <alignment horizontal="center" vertical="center"/>
    </xf>
    <xf numFmtId="43" fontId="41" fillId="0" borderId="3" xfId="1" applyFont="1" applyFill="1" applyBorder="1" applyAlignment="1">
      <alignment horizontal="center" vertical="center"/>
    </xf>
    <xf numFmtId="0" fontId="41" fillId="0" borderId="2" xfId="0" applyFont="1" applyFill="1" applyBorder="1" applyAlignment="1">
      <alignment horizontal="center" vertical="center" wrapText="1"/>
    </xf>
    <xf numFmtId="0" fontId="44" fillId="0" borderId="2"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11" xfId="0" applyFont="1" applyFill="1" applyBorder="1" applyAlignment="1">
      <alignment vertical="center"/>
    </xf>
    <xf numFmtId="0" fontId="41" fillId="0" borderId="11" xfId="0" applyFont="1" applyFill="1" applyBorder="1" applyAlignment="1">
      <alignment horizontal="center" vertical="center"/>
    </xf>
    <xf numFmtId="43" fontId="17" fillId="0" borderId="3" xfId="1" applyFont="1" applyFill="1" applyBorder="1" applyAlignment="1">
      <alignment horizontal="center"/>
    </xf>
    <xf numFmtId="0" fontId="17" fillId="0" borderId="12" xfId="0" applyFont="1" applyFill="1" applyBorder="1" applyAlignment="1">
      <alignment horizontal="center" vertical="center" wrapText="1"/>
    </xf>
    <xf numFmtId="0" fontId="2" fillId="0" borderId="3" xfId="0" applyFont="1" applyFill="1" applyBorder="1" applyAlignment="1">
      <alignment horizontal="center" vertical="center"/>
    </xf>
    <xf numFmtId="164" fontId="2" fillId="0" borderId="3" xfId="1" applyNumberFormat="1" applyFont="1" applyFill="1" applyBorder="1" applyAlignment="1">
      <alignment horizontal="center" vertical="center"/>
    </xf>
    <xf numFmtId="0" fontId="2" fillId="0" borderId="11" xfId="0" applyFont="1" applyFill="1" applyBorder="1" applyAlignment="1">
      <alignment horizontal="center" vertical="center"/>
    </xf>
    <xf numFmtId="0" fontId="7" fillId="0" borderId="0" xfId="0" applyFont="1" applyFill="1" applyAlignment="1">
      <alignment horizontal="center"/>
    </xf>
    <xf numFmtId="43" fontId="2" fillId="3" borderId="2" xfId="1" applyFont="1" applyFill="1" applyBorder="1" applyAlignment="1">
      <alignment horizontal="center" vertical="center"/>
    </xf>
    <xf numFmtId="43" fontId="17" fillId="0" borderId="3" xfId="0" applyNumberFormat="1" applyFont="1" applyFill="1" applyBorder="1" applyAlignment="1">
      <alignment horizontal="center" vertical="center"/>
    </xf>
    <xf numFmtId="43" fontId="2" fillId="0" borderId="3" xfId="1" applyFont="1" applyFill="1" applyBorder="1" applyAlignment="1">
      <alignment horizontal="center" vertical="center"/>
    </xf>
    <xf numFmtId="0" fontId="10" fillId="0" borderId="0" xfId="0" applyFont="1" applyFill="1"/>
    <xf numFmtId="0" fontId="39" fillId="0" borderId="2" xfId="0" applyFont="1" applyBorder="1" applyAlignment="1">
      <alignment vertical="center" wrapText="1"/>
    </xf>
    <xf numFmtId="0" fontId="45" fillId="0" borderId="2" xfId="0" applyFont="1" applyFill="1" applyBorder="1" applyAlignment="1">
      <alignment horizontal="center" vertical="center"/>
    </xf>
    <xf numFmtId="164" fontId="45" fillId="0" borderId="2" xfId="1" applyNumberFormat="1" applyFont="1" applyFill="1" applyBorder="1" applyAlignment="1">
      <alignment horizontal="center" vertical="center"/>
    </xf>
    <xf numFmtId="0" fontId="46" fillId="0" borderId="2" xfId="0" applyFont="1" applyFill="1" applyBorder="1" applyAlignment="1">
      <alignment horizontal="center" vertical="center"/>
    </xf>
    <xf numFmtId="0" fontId="4" fillId="0" borderId="2" xfId="0" applyFont="1" applyBorder="1" applyAlignment="1">
      <alignment wrapText="1"/>
    </xf>
    <xf numFmtId="164" fontId="10" fillId="0" borderId="0" xfId="1" applyNumberFormat="1" applyFont="1" applyFill="1"/>
    <xf numFmtId="0" fontId="9" fillId="0" borderId="2" xfId="0" applyFont="1" applyBorder="1" applyAlignment="1">
      <alignment vertical="center" wrapText="1"/>
    </xf>
    <xf numFmtId="0" fontId="9" fillId="0" borderId="4" xfId="0" applyFont="1" applyBorder="1" applyAlignment="1">
      <alignment vertical="center" wrapText="1"/>
    </xf>
    <xf numFmtId="174" fontId="2" fillId="0" borderId="2" xfId="1" applyNumberFormat="1" applyFont="1" applyFill="1" applyBorder="1" applyAlignment="1">
      <alignment vertical="center" wrapText="1"/>
    </xf>
    <xf numFmtId="174" fontId="2" fillId="0" borderId="2" xfId="1" applyNumberFormat="1" applyFont="1" applyBorder="1" applyAlignment="1">
      <alignment vertical="center" wrapText="1"/>
    </xf>
    <xf numFmtId="0" fontId="25" fillId="0" borderId="0" xfId="0" applyFont="1" applyAlignment="1">
      <alignment wrapText="1"/>
    </xf>
    <xf numFmtId="0" fontId="25" fillId="3" borderId="0" xfId="0" applyFont="1" applyFill="1" applyBorder="1" applyAlignment="1">
      <alignment horizontal="center" vertical="center"/>
    </xf>
    <xf numFmtId="0" fontId="33" fillId="0" borderId="0" xfId="0" applyFont="1" applyFill="1" applyBorder="1" applyAlignment="1">
      <alignment vertical="center"/>
    </xf>
    <xf numFmtId="0" fontId="14" fillId="0" borderId="11" xfId="0" applyFont="1" applyBorder="1" applyAlignment="1">
      <alignment horizontal="center" vertical="center" wrapText="1"/>
    </xf>
    <xf numFmtId="0" fontId="9" fillId="0" borderId="9" xfId="0" applyFont="1" applyBorder="1" applyAlignment="1">
      <alignment horizontal="center" vertical="center" wrapText="1"/>
    </xf>
    <xf numFmtId="164" fontId="25" fillId="0" borderId="0" xfId="1" applyNumberFormat="1" applyFont="1" applyBorder="1" applyAlignment="1">
      <alignment vertical="center"/>
    </xf>
    <xf numFmtId="0" fontId="16" fillId="0" borderId="0" xfId="0" applyFont="1" applyAlignment="1">
      <alignment horizontal="center" vertical="center" wrapText="1"/>
    </xf>
    <xf numFmtId="43" fontId="7" fillId="0" borderId="1" xfId="0" applyNumberFormat="1" applyFont="1" applyFill="1" applyBorder="1" applyAlignment="1">
      <alignment horizontal="center" vertical="center"/>
    </xf>
    <xf numFmtId="9" fontId="7" fillId="0" borderId="1" xfId="2" applyFont="1" applyFill="1" applyBorder="1" applyAlignment="1">
      <alignment horizontal="center" vertical="center"/>
    </xf>
    <xf numFmtId="0" fontId="25" fillId="0" borderId="0" xfId="0" applyFont="1" applyAlignment="1">
      <alignment horizontal="center" vertical="center"/>
    </xf>
    <xf numFmtId="0" fontId="6" fillId="0" borderId="2" xfId="3" applyNumberFormat="1" applyFont="1" applyFill="1" applyBorder="1" applyAlignment="1">
      <alignment horizontal="center" vertical="center" wrapTex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2" xfId="3" applyNumberFormat="1" applyFont="1" applyFill="1" applyBorder="1" applyAlignment="1">
      <alignment horizontal="center" vertical="center"/>
    </xf>
    <xf numFmtId="0" fontId="6" fillId="0" borderId="2" xfId="3" applyFont="1" applyFill="1" applyBorder="1" applyAlignment="1">
      <alignment horizontal="center" vertical="center"/>
    </xf>
    <xf numFmtId="3" fontId="6" fillId="0" borderId="11" xfId="3" applyNumberFormat="1" applyFont="1" applyFill="1" applyBorder="1" applyAlignment="1">
      <alignment horizontal="center" vertical="center"/>
    </xf>
    <xf numFmtId="3" fontId="6" fillId="0" borderId="10" xfId="3" applyNumberFormat="1" applyFont="1" applyFill="1" applyBorder="1" applyAlignment="1">
      <alignment horizontal="center" vertical="center"/>
    </xf>
    <xf numFmtId="0" fontId="6" fillId="0" borderId="11" xfId="3" applyNumberFormat="1" applyFont="1" applyFill="1" applyBorder="1" applyAlignment="1">
      <alignment horizontal="center" vertical="center"/>
    </xf>
    <xf numFmtId="0" fontId="6" fillId="0" borderId="10" xfId="3" applyNumberFormat="1" applyFont="1" applyFill="1" applyBorder="1" applyAlignment="1">
      <alignment horizontal="center" vertical="center"/>
    </xf>
    <xf numFmtId="43" fontId="6" fillId="0" borderId="0" xfId="1" applyFont="1" applyFill="1" applyAlignment="1">
      <alignment horizontal="center" vertical="center"/>
    </xf>
    <xf numFmtId="43" fontId="7" fillId="0" borderId="0" xfId="1" applyFont="1" applyFill="1" applyBorder="1" applyAlignment="1">
      <alignment horizontal="center" vertical="center"/>
    </xf>
    <xf numFmtId="0" fontId="2"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xf>
    <xf numFmtId="174" fontId="6" fillId="0" borderId="2" xfId="1" applyNumberFormat="1" applyFont="1" applyFill="1" applyBorder="1" applyAlignment="1">
      <alignment horizontal="center" vertical="center" wrapText="1"/>
    </xf>
    <xf numFmtId="174" fontId="6" fillId="0" borderId="2" xfId="1" applyNumberFormat="1" applyFont="1" applyFill="1" applyBorder="1" applyAlignment="1">
      <alignment horizontal="right" vertical="center" wrapText="1"/>
    </xf>
    <xf numFmtId="174" fontId="6" fillId="0" borderId="3" xfId="1" applyNumberFormat="1" applyFont="1" applyFill="1" applyBorder="1" applyAlignment="1">
      <alignment horizontal="center" vertical="center" wrapText="1"/>
    </xf>
    <xf numFmtId="174" fontId="6" fillId="0" borderId="2" xfId="1" applyNumberFormat="1" applyFont="1" applyFill="1" applyBorder="1" applyAlignment="1">
      <alignment vertical="center" wrapText="1"/>
    </xf>
    <xf numFmtId="174" fontId="6" fillId="0" borderId="3" xfId="1" applyNumberFormat="1" applyFont="1" applyFill="1" applyBorder="1" applyAlignment="1">
      <alignment vertical="center" wrapText="1"/>
    </xf>
    <xf numFmtId="174" fontId="2" fillId="0" borderId="3" xfId="1" applyNumberFormat="1" applyFont="1" applyFill="1" applyBorder="1" applyAlignment="1">
      <alignment vertical="center" wrapText="1"/>
    </xf>
    <xf numFmtId="174" fontId="15" fillId="0" borderId="2" xfId="1" applyNumberFormat="1" applyFont="1" applyFill="1" applyBorder="1" applyAlignment="1">
      <alignment vertical="center" wrapText="1"/>
    </xf>
    <xf numFmtId="174" fontId="15" fillId="0" borderId="3" xfId="1" applyNumberFormat="1" applyFont="1" applyFill="1" applyBorder="1" applyAlignment="1">
      <alignment vertical="center" wrapText="1"/>
    </xf>
    <xf numFmtId="174" fontId="6" fillId="0" borderId="2" xfId="1" applyNumberFormat="1" applyFont="1" applyBorder="1" applyAlignment="1">
      <alignment vertical="center" wrapText="1"/>
    </xf>
    <xf numFmtId="174" fontId="6" fillId="0" borderId="3" xfId="1" applyNumberFormat="1" applyFont="1" applyBorder="1" applyAlignment="1">
      <alignment vertical="center" wrapText="1"/>
    </xf>
    <xf numFmtId="174" fontId="9" fillId="0" borderId="2" xfId="1" applyNumberFormat="1" applyFont="1" applyBorder="1" applyAlignment="1">
      <alignment vertical="center" wrapText="1"/>
    </xf>
    <xf numFmtId="174" fontId="9" fillId="0" borderId="2" xfId="1" applyNumberFormat="1" applyFont="1" applyFill="1" applyBorder="1" applyAlignment="1">
      <alignment vertical="center" wrapText="1"/>
    </xf>
    <xf numFmtId="174" fontId="15" fillId="0" borderId="2" xfId="1" applyNumberFormat="1" applyFont="1" applyBorder="1" applyAlignment="1">
      <alignment vertical="center" wrapText="1"/>
    </xf>
    <xf numFmtId="174" fontId="2" fillId="0" borderId="3" xfId="1" applyNumberFormat="1" applyFont="1" applyBorder="1" applyAlignment="1">
      <alignment vertical="center" wrapText="1"/>
    </xf>
    <xf numFmtId="174" fontId="7" fillId="0" borderId="2" xfId="1" applyNumberFormat="1" applyFont="1" applyBorder="1" applyAlignment="1">
      <alignment vertical="center" wrapText="1"/>
    </xf>
    <xf numFmtId="174" fontId="33" fillId="0" borderId="2" xfId="1" applyNumberFormat="1" applyFont="1" applyBorder="1"/>
    <xf numFmtId="174" fontId="33" fillId="0" borderId="2" xfId="1" applyNumberFormat="1" applyFont="1" applyFill="1" applyBorder="1"/>
    <xf numFmtId="174" fontId="33" fillId="0" borderId="3" xfId="1" applyNumberFormat="1" applyFont="1" applyBorder="1"/>
    <xf numFmtId="174" fontId="9" fillId="0" borderId="3" xfId="1" applyNumberFormat="1" applyFont="1" applyBorder="1" applyAlignment="1">
      <alignment vertical="center" wrapText="1"/>
    </xf>
    <xf numFmtId="174" fontId="9" fillId="0" borderId="3" xfId="1" applyNumberFormat="1" applyFont="1" applyFill="1" applyBorder="1" applyAlignment="1">
      <alignment vertical="center" wrapText="1"/>
    </xf>
    <xf numFmtId="174" fontId="9" fillId="0" borderId="4" xfId="1" applyNumberFormat="1" applyFont="1" applyFill="1" applyBorder="1" applyAlignment="1">
      <alignment vertical="center" wrapText="1"/>
    </xf>
    <xf numFmtId="174" fontId="2" fillId="0" borderId="4" xfId="1" applyNumberFormat="1" applyFont="1" applyFill="1" applyBorder="1" applyAlignment="1">
      <alignment vertical="center" wrapText="1"/>
    </xf>
    <xf numFmtId="174" fontId="9" fillId="0" borderId="11" xfId="1" applyNumberFormat="1" applyFont="1" applyFill="1" applyBorder="1" applyAlignment="1">
      <alignment vertical="center" wrapText="1"/>
    </xf>
    <xf numFmtId="174" fontId="2" fillId="0" borderId="11" xfId="1" applyNumberFormat="1" applyFont="1" applyFill="1" applyBorder="1" applyAlignment="1">
      <alignment vertical="center" wrapText="1"/>
    </xf>
  </cellXfs>
  <cellStyles count="8">
    <cellStyle name="Comma" xfId="1" builtinId="3"/>
    <cellStyle name="Comma [0]" xfId="4" builtinId="6"/>
    <cellStyle name="Comma 2" xfId="6"/>
    <cellStyle name="Normal" xfId="0" builtinId="0"/>
    <cellStyle name="Normal 10 2" xfId="7"/>
    <cellStyle name="Normal 2" xfId="5"/>
    <cellStyle name="Normal_DM 14- 2006- CLBD" xfId="3"/>
    <cellStyle name="Percent" xfId="2" builtinId="5"/>
  </cellStyles>
  <dxfs count="142">
    <dxf>
      <font>
        <b val="0"/>
        <i val="0"/>
        <strike val="0"/>
        <condense val="0"/>
        <extend val="0"/>
        <outline val="0"/>
        <shadow val="0"/>
        <u val="none"/>
        <vertAlign val="baseline"/>
        <sz val="12"/>
        <color auto="1"/>
        <name val="Times New Roman"/>
        <scheme val="none"/>
      </font>
      <numFmt numFmtId="174" formatCode="#,##0_ ;\-#,##0\ "/>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theme="1"/>
        <name val="Times New Roman"/>
        <scheme val="none"/>
      </font>
      <numFmt numFmtId="174" formatCode="#,##0_ ;\-#,##0\ "/>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74" formatCode="#,##0_ ;\-#,##0\ "/>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numFmt numFmtId="174" formatCode="#,##0_ ;\-#,##0\ "/>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numFmt numFmtId="174" formatCode="#,##0_ ;\-#,##0\ "/>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numFmt numFmtId="174" formatCode="#,##0_ ;\-#,##0\ "/>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numFmt numFmtId="174" formatCode="#,##0_ ;\-#,##0\ "/>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numFmt numFmtId="174" formatCode="#,##0_ ;\-#,##0\ "/>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numFmt numFmtId="174" formatCode="#,##0_ ;\-#,##0\ "/>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numFmt numFmtId="174" formatCode="#,##0_ ;\-#,##0\ "/>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3"/>
        <name val="Times New Roman"/>
        <scheme val="none"/>
      </font>
    </dxf>
    <dxf>
      <font>
        <strike val="0"/>
        <outline val="0"/>
        <shadow val="0"/>
        <u val="none"/>
        <vertAlign val="baseline"/>
        <sz val="13"/>
        <name val="Times New Roman"/>
        <scheme val="none"/>
      </font>
      <alignment horizontal="center" textRotation="0" wrapText="0" indent="0" justifyLastLine="0" shrinkToFit="0" readingOrder="0"/>
    </dxf>
    <dxf>
      <font>
        <b val="0"/>
        <i val="0"/>
        <strike val="0"/>
        <condense val="0"/>
        <extend val="0"/>
        <outline val="0"/>
        <shadow val="0"/>
        <u val="none"/>
        <vertAlign val="baseline"/>
        <sz val="13"/>
        <color theme="1"/>
        <name val="Times New Roman"/>
        <scheme val="none"/>
      </font>
      <numFmt numFmtId="166" formatCode="_(* #,##0_);_(* \(#,##0\);_(* &quot;-&quot;??_);_(@_)"/>
    </dxf>
    <dxf>
      <font>
        <b val="0"/>
        <i val="0"/>
        <strike val="0"/>
        <condense val="0"/>
        <extend val="0"/>
        <outline val="0"/>
        <shadow val="0"/>
        <u val="none"/>
        <vertAlign val="baseline"/>
        <sz val="13"/>
        <color theme="1"/>
        <name val="Times New Roman"/>
        <scheme val="none"/>
      </font>
      <alignment horizontal="center" vertical="center" textRotation="0" wrapText="1" indent="0" justifyLastLine="0" shrinkToFit="0" readingOrder="0"/>
    </dxf>
    <dxf>
      <font>
        <b val="0"/>
        <i val="0"/>
        <strike val="0"/>
        <condense val="0"/>
        <extend val="0"/>
        <outline val="0"/>
        <shadow val="0"/>
        <u val="none"/>
        <vertAlign val="baseline"/>
        <sz val="13"/>
        <color theme="1"/>
        <name val="Times New Roman"/>
        <scheme val="none"/>
      </font>
      <alignment horizontal="general" vertical="center" textRotation="0" wrapText="1" indent="0" justifyLastLine="0" shrinkToFit="0" readingOrder="0"/>
    </dxf>
    <dxf>
      <font>
        <b val="0"/>
        <i val="0"/>
        <strike val="0"/>
        <condense val="0"/>
        <extend val="0"/>
        <outline val="0"/>
        <shadow val="0"/>
        <u val="none"/>
        <vertAlign val="baseline"/>
        <sz val="13"/>
        <color theme="1"/>
        <name val="Times New Roman"/>
        <scheme val="none"/>
      </font>
    </dxf>
    <dxf>
      <font>
        <strike val="0"/>
        <outline val="0"/>
        <shadow val="0"/>
        <u val="none"/>
        <vertAlign val="baseline"/>
        <sz val="13"/>
        <name val="Times New Roman"/>
        <scheme val="none"/>
      </font>
    </dxf>
    <dxf>
      <font>
        <strike val="0"/>
        <outline val="0"/>
        <shadow val="0"/>
        <u val="none"/>
        <vertAlign val="baseline"/>
        <sz val="13"/>
        <name val="Times New Roman"/>
        <scheme val="none"/>
      </font>
      <alignment horizontal="center" vertical="center" textRotation="0" indent="0" justifyLastLine="0" shrinkToFit="0" readingOrder="0"/>
    </dxf>
    <dxf>
      <font>
        <b val="0"/>
        <i val="0"/>
        <strike val="0"/>
        <condense val="0"/>
        <extend val="0"/>
        <outline val="0"/>
        <shadow val="0"/>
        <u val="none"/>
        <vertAlign val="baseline"/>
        <sz val="12"/>
        <color auto="1"/>
        <name val="Times New Roman"/>
        <scheme val="none"/>
      </font>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6" formatCode="_(* #,##0_);_(* \(#,##0\);_(* &quot;-&quot;??_);_(@_)"/>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6" formatCode="_(* #,##0_);_(* \(#,##0\);_(* &quot;-&quot;??_);_(@_)"/>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6" formatCode="_(* #,##0_);_(* \(#,##0\);_(* &quot;-&quot;??_);_(@_)"/>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6" formatCode="_(* #,##0_);_(* \(#,##0\);_(* &quot;-&quot;??_);_(@_)"/>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6" formatCode="_(* #,##0_);_(* \(#,##0\);_(* &quot;-&quot;??_);_(@_)"/>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Times New Roman"/>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Times New Roman"/>
        <scheme val="none"/>
      </font>
      <numFmt numFmtId="35" formatCode="_-* #,##0.00_-;\-* #,##0.00_-;_-* &quot;-&quot;??_-;_-@_-"/>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Times New Roman"/>
        <scheme val="none"/>
      </font>
      <numFmt numFmtId="35" formatCode="_-* #,##0.00_-;\-* #,##0.00_-;_-* &quot;-&quot;??_-;_-@_-"/>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4" formatCode="_-* #,##0_-;\-* #,##0_-;_-* &quot;-&quot;??_-;_-@_-"/>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Times New Roman"/>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Times New Roman"/>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Times New Roman"/>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scheme val="none"/>
      </font>
    </dxf>
    <dxf>
      <border>
        <bottom style="thin">
          <color indexed="64"/>
        </bottom>
      </border>
    </dxf>
    <dxf>
      <font>
        <strike val="0"/>
        <outline val="0"/>
        <shadow val="0"/>
        <u val="none"/>
        <vertAlign val="baseline"/>
        <sz val="12"/>
        <color auto="1"/>
        <name val="Times New Roman"/>
        <scheme val="none"/>
      </font>
      <border diagonalUp="0" diagonalDown="0">
        <left style="thin">
          <color indexed="64"/>
        </left>
        <right style="thin">
          <color indexed="64"/>
        </right>
        <top/>
        <bottom/>
        <vertical style="thin">
          <color indexed="64"/>
        </vertical>
        <horizontal style="thin">
          <color indexed="64"/>
        </horizontal>
      </border>
    </dxf>
    <dxf>
      <font>
        <b val="0"/>
        <i/>
        <strike val="0"/>
        <condense val="0"/>
        <extend val="0"/>
        <outline val="0"/>
        <shadow val="0"/>
        <u val="none"/>
        <vertAlign val="baseline"/>
        <sz val="10"/>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Times New Roman"/>
        <scheme val="none"/>
      </font>
      <fill>
        <patternFill patternType="none">
          <fgColor indexed="64"/>
          <bgColor auto="1"/>
        </patternFill>
      </fill>
    </dxf>
    <dxf>
      <font>
        <strike val="0"/>
        <outline val="0"/>
        <shadow val="0"/>
        <u val="none"/>
        <vertAlign val="baseline"/>
        <color auto="1"/>
        <name val="Times New Roman"/>
        <scheme val="none"/>
      </font>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dxf>
    <dxf>
      <border outline="0">
        <bottom style="thin">
          <color indexed="64"/>
        </bottom>
      </border>
    </dxf>
    <dxf>
      <font>
        <b val="0"/>
        <i/>
        <strike val="0"/>
        <condense val="0"/>
        <extend val="0"/>
        <outline val="0"/>
        <shadow val="0"/>
        <u val="none"/>
        <vertAlign val="baseline"/>
        <sz val="10"/>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4" formatCode="_-* #,##0_-;\-* #,##0_-;_-*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color auto="1"/>
      </font>
      <fill>
        <patternFill patternType="none">
          <fgColor indexed="64"/>
          <bgColor auto="1"/>
        </patternFill>
      </fill>
    </dxf>
    <dxf>
      <font>
        <strike val="0"/>
        <outline val="0"/>
        <shadow val="0"/>
        <u val="none"/>
        <color auto="1"/>
      </font>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dxf>
    <dxf>
      <border outline="0">
        <bottom style="thin">
          <color indexed="64"/>
        </bottom>
      </border>
    </dxf>
    <dxf>
      <font>
        <strike val="0"/>
        <outline val="0"/>
        <shadow val="0"/>
        <u val="none"/>
        <color auto="1"/>
      </font>
    </dxf>
    <dxf>
      <font>
        <b val="0"/>
        <i/>
        <strike val="0"/>
        <condense val="0"/>
        <extend val="0"/>
        <outline val="0"/>
        <shadow val="0"/>
        <u val="none"/>
        <vertAlign val="baseline"/>
        <sz val="10"/>
        <color auto="1"/>
        <name val="Times New Roman"/>
        <scheme val="none"/>
      </font>
      <fill>
        <patternFill patternType="none">
          <fgColor indexed="64"/>
          <bgColor auto="1"/>
        </patternFill>
      </fill>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12"/>
        <color auto="1"/>
        <name val="Times New Roman"/>
        <scheme val="none"/>
      </font>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0"/>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4" formatCode="_-* #,##0_-;\-* #,##0_-;_-* &quot;-&quot;??_-;_-@_-"/>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color auto="1"/>
        <name val="Times New Roman"/>
        <scheme val="none"/>
      </font>
      <fill>
        <patternFill patternType="none">
          <fgColor indexed="64"/>
          <bgColor auto="1"/>
        </patternFill>
      </fill>
    </dxf>
    <dxf>
      <font>
        <b val="0"/>
        <strike val="0"/>
        <outline val="0"/>
        <shadow val="0"/>
        <u val="none"/>
        <color auto="1"/>
        <name val="Times New Roman"/>
        <scheme val="none"/>
      </font>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strike val="0"/>
        <outline val="0"/>
        <shadow val="0"/>
        <u val="none"/>
        <color auto="1"/>
        <name val="Times New Roman"/>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1"/>
        <color auto="1"/>
        <name val="Times New Roman"/>
        <scheme val="none"/>
      </font>
      <fill>
        <patternFill patternType="none">
          <fgColor indexed="64"/>
          <bgColor auto="1"/>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70" formatCode="_-* #,##0.0000_-;\-* #,##0.0000_-;_-*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64" formatCode="_-* #,##0_-;\-* #,##0_-;_-*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color auto="1"/>
        <name val="Times New Roman"/>
        <scheme val="none"/>
      </font>
      <fill>
        <patternFill patternType="none">
          <fgColor indexed="64"/>
          <bgColor auto="1"/>
        </patternFill>
      </fill>
      <alignment vertical="center" textRotation="0" indent="0" justifyLastLine="0" shrinkToFit="0" readingOrder="0"/>
    </dxf>
    <dxf>
      <font>
        <strike val="0"/>
        <outline val="0"/>
        <shadow val="0"/>
        <u val="none"/>
        <color auto="1"/>
        <name val="Times New Roman"/>
        <scheme val="none"/>
      </font>
      <fill>
        <patternFill patternType="none">
          <fgColor indexed="64"/>
          <bgColor auto="1"/>
        </patternFill>
      </fill>
      <alignment vertical="center" textRotation="0"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strike val="0"/>
        <condense val="0"/>
        <extend val="0"/>
        <outline val="0"/>
        <shadow val="0"/>
        <u val="none"/>
        <vertAlign val="baseline"/>
        <sz val="10"/>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35" formatCode="_-* #,##0.00_-;\-* #,##0.00_-;_-* &quot;-&quot;??_-;_-@_-"/>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color auto="1"/>
        <name val="Times New Roman"/>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0" indent="0" justifyLastLine="0" shrinkToFit="0" readingOrder="0"/>
    </dxf>
    <dxf>
      <font>
        <b val="0"/>
        <i/>
        <strike val="0"/>
        <condense val="0"/>
        <extend val="0"/>
        <outline val="0"/>
        <shadow val="0"/>
        <u val="none"/>
        <vertAlign val="baseline"/>
        <sz val="10"/>
        <color theme="1"/>
        <name val="Times New Roman"/>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strike val="0"/>
        <condense val="0"/>
        <extend val="0"/>
        <outline val="0"/>
        <shadow val="0"/>
        <u val="none"/>
        <vertAlign val="baseline"/>
        <sz val="12"/>
        <color theme="1"/>
        <name val="Times New Roman"/>
        <scheme val="none"/>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general" vertical="center" textRotation="0" wrapText="1" indent="0" justifyLastLine="0" shrinkToFit="0" readingOrder="0"/>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G&#7884;C%20HUY&#7872;N/5.%20&#272;&#416;N%20GI&#193;%2003-TT-BTNMT/B&#7842;NG%20KQSB-VPP%20(28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
    </sheetNames>
    <sheetDataSet>
      <sheetData sheetId="0">
        <row r="3">
          <cell r="B3" t="str">
            <v xml:space="preserve">Máy điều hòa nhiệt độ </v>
          </cell>
          <cell r="C3" t="str">
            <v>Cái</v>
          </cell>
          <cell r="D3">
            <v>1</v>
          </cell>
          <cell r="E3">
            <v>16490000</v>
          </cell>
          <cell r="F3">
            <v>15000000</v>
          </cell>
        </row>
        <row r="4">
          <cell r="B4" t="str">
            <v>- Nhà sản xuất: Daikin</v>
          </cell>
        </row>
        <row r="5">
          <cell r="B5" t="str">
            <v>- Model: FTKY35WMVMV</v>
          </cell>
        </row>
        <row r="6">
          <cell r="B6" t="str">
            <v>- Loại máy lạnh: 1 chiều</v>
          </cell>
        </row>
        <row r="7">
          <cell r="B7" t="str">
            <v>- Công suất: 1,5 HP</v>
          </cell>
        </row>
        <row r="8">
          <cell r="B8" t="str">
            <v>- Công nghệ Inverter: Có</v>
          </cell>
        </row>
        <row r="9">
          <cell r="B9" t="str">
            <v>- Loại Gas lạnh: R32</v>
          </cell>
        </row>
        <row r="10">
          <cell r="B10" t="str">
            <v>- Công suất tiêu thụ điện: 1 kW</v>
          </cell>
        </row>
        <row r="11">
          <cell r="B11" t="str">
            <v>- Xuất xứ: Thái Lan</v>
          </cell>
        </row>
        <row r="12">
          <cell r="B12" t="str">
            <v>Bộ máy chủ lưu trữ số liệu</v>
          </cell>
          <cell r="C12" t="str">
            <v>Bộ</v>
          </cell>
          <cell r="D12">
            <v>1</v>
          </cell>
          <cell r="E12">
            <v>86282000</v>
          </cell>
          <cell r="F12">
            <v>86282000</v>
          </cell>
        </row>
        <row r="13">
          <cell r="B13" t="str">
            <v>- IBM System X3650 M4 - 7915 - J2A</v>
          </cell>
        </row>
        <row r="14">
          <cell r="B14" t="str">
            <v>- Processor:Intel Xeon E5-2670 (2.6GHz, 20MB L3 cache, LGA2011, 115 Watt)</v>
          </cell>
        </row>
        <row r="15">
          <cell r="B15" t="str">
            <v>- Memory: 8GB PC3L-10600 CL9 ECC DDR3 1333MHz LP RDIMM</v>
          </cell>
        </row>
        <row r="16">
          <cell r="B16" t="str">
            <v>- Hard Drives: Optional SAS/SATA 2.5” 8/18 Hot-Swap</v>
          </cell>
        </row>
        <row r="17">
          <cell r="B17" t="str">
            <v>- RAID Controller: IBM ServeRAID M5110e with RAID-0, -1, -5, -10 ( 1GB flash )</v>
          </cell>
        </row>
        <row r="18">
          <cell r="B18" t="str">
            <v>- Network Con troller: Quad port 1GbE Gigabit Ethernet</v>
          </cell>
        </row>
        <row r="19">
          <cell r="B19" t="str">
            <v>- Optical Drive: Optional DVD-ROM or DVD-RW Drive</v>
          </cell>
        </row>
        <row r="20">
          <cell r="B20" t="str">
            <v>- Power Supply: 1x 750 W HS / 2</v>
          </cell>
        </row>
        <row r="21">
          <cell r="B21" t="str">
            <v xml:space="preserve">- Form Factor: 2U rackmount </v>
          </cell>
        </row>
        <row r="22">
          <cell r="B22" t="str">
            <v>- Rail kit: Sliding Rails Rackmount 2U Kit</v>
          </cell>
        </row>
        <row r="23">
          <cell r="B23" t="str">
            <v>Máy scan</v>
          </cell>
          <cell r="C23" t="str">
            <v>Cái</v>
          </cell>
          <cell r="D23">
            <v>1</v>
          </cell>
          <cell r="E23">
            <v>8636364</v>
          </cell>
          <cell r="F23">
            <v>8449000</v>
          </cell>
        </row>
        <row r="24">
          <cell r="B24" t="str">
            <v>- Hãng sản xuất: HP</v>
          </cell>
        </row>
        <row r="25">
          <cell r="B25" t="str">
            <v>- Model: Scanjet Pro 3000s3 - L2753A</v>
          </cell>
        </row>
        <row r="26">
          <cell r="B26" t="str">
            <v>- Độ phân giải: 600 dpi</v>
          </cell>
        </row>
        <row r="27">
          <cell r="B27" t="str">
            <v>- Khổ giấy: A4, A5</v>
          </cell>
        </row>
        <row r="28">
          <cell r="B28" t="str">
            <v>- Kết nối: USB 2.0 and USB 3.0</v>
          </cell>
        </row>
        <row r="29">
          <cell r="B29" t="str">
            <v>- Tốc độ quét tài liệu tự động: Lên đến 35 tờ/phút, 70 ảnh/phút</v>
          </cell>
        </row>
        <row r="30">
          <cell r="B30" t="str">
            <v>- Khay nạp tài liệu tự động ADF: 50 tờ</v>
          </cell>
        </row>
        <row r="31">
          <cell r="B31" t="str">
            <v>DỤNG CỤ</v>
          </cell>
        </row>
        <row r="32">
          <cell r="B32" t="str">
            <v>Quạt trần 0,1 kW</v>
          </cell>
          <cell r="C32" t="str">
            <v>Cái</v>
          </cell>
          <cell r="D32">
            <v>1</v>
          </cell>
          <cell r="E32">
            <v>2454545.4545454541</v>
          </cell>
          <cell r="F32">
            <v>2454545</v>
          </cell>
        </row>
        <row r="33">
          <cell r="B33" t="str">
            <v xml:space="preserve">- Hiệu: Midea </v>
          </cell>
        </row>
        <row r="34">
          <cell r="B34" t="str">
            <v>- Model: FC132-16BRL</v>
          </cell>
        </row>
        <row r="35">
          <cell r="B35" t="str">
            <v>- Sải cánh: 1,2m</v>
          </cell>
        </row>
        <row r="36">
          <cell r="B36" t="str">
            <v>- Công suất: 100W</v>
          </cell>
        </row>
        <row r="37">
          <cell r="B37" t="str">
            <v>- Tốc độ gió: 5 tốc độ</v>
          </cell>
        </row>
        <row r="38">
          <cell r="B38" t="str">
            <v>- Hẹn giờ: Có</v>
          </cell>
        </row>
        <row r="39">
          <cell r="B39" t="str">
            <v>- Số cánh quạt: 5 cánh</v>
          </cell>
        </row>
        <row r="40">
          <cell r="B40" t="str">
            <v>- Điều khiển từ xa: Có</v>
          </cell>
        </row>
        <row r="41">
          <cell r="B41" t="str">
            <v>- Xuất xứ: Trung Quốc</v>
          </cell>
        </row>
        <row r="42">
          <cell r="B42" t="str">
            <v>Bàn dập ghim loại nhỏ</v>
          </cell>
          <cell r="C42" t="str">
            <v>Cái</v>
          </cell>
          <cell r="D42">
            <v>1</v>
          </cell>
          <cell r="E42">
            <v>183000</v>
          </cell>
          <cell r="F42">
            <v>183000</v>
          </cell>
        </row>
        <row r="43">
          <cell r="B43" t="str">
            <v xml:space="preserve">- Hiệu: Deli 
</v>
          </cell>
        </row>
        <row r="44">
          <cell r="B44" t="str">
            <v xml:space="preserve">- Model: 0391 </v>
          </cell>
        </row>
        <row r="45">
          <cell r="B45" t="str">
            <v>- Dùng đạn ghim: 24/6, 23/8 và 23/10</v>
          </cell>
        </row>
        <row r="46">
          <cell r="B46" t="str">
            <v>- Dập tối đa 60 tờ</v>
          </cell>
        </row>
        <row r="47">
          <cell r="B47" t="str">
            <v>- Xuất xứ: Trung Quốc</v>
          </cell>
        </row>
        <row r="48">
          <cell r="B48" t="str">
            <v>Ổ ghi đĩa quang</v>
          </cell>
          <cell r="C48" t="str">
            <v>Cái</v>
          </cell>
          <cell r="D48">
            <v>1</v>
          </cell>
          <cell r="E48">
            <v>681818.18181818177</v>
          </cell>
          <cell r="F48">
            <v>681818</v>
          </cell>
        </row>
        <row r="49">
          <cell r="B49" t="str">
            <v xml:space="preserve">- Hiệu: Asus </v>
          </cell>
        </row>
        <row r="50">
          <cell r="B50" t="str">
            <v>- Model: SDRW-08D2S-U</v>
          </cell>
        </row>
        <row r="51">
          <cell r="B51" t="str">
            <v>- Cổng giao tiếp: USB 2.0</v>
          </cell>
        </row>
        <row r="52">
          <cell r="B52" t="str">
            <v>- Đường kính đĩa: 12cm/8cm</v>
          </cell>
        </row>
        <row r="53">
          <cell r="B53" t="str">
            <v>Máy hút bụi 2 kW</v>
          </cell>
          <cell r="C53" t="str">
            <v>Cái</v>
          </cell>
          <cell r="D53">
            <v>1</v>
          </cell>
          <cell r="E53">
            <v>2363636.3636363633</v>
          </cell>
          <cell r="F53">
            <v>2363636</v>
          </cell>
        </row>
        <row r="54">
          <cell r="B54" t="str">
            <v xml:space="preserve">- Hiệu: Hitachi  </v>
          </cell>
        </row>
        <row r="55">
          <cell r="B55" t="str">
            <v>- Model: CV-SF20V</v>
          </cell>
        </row>
        <row r="56">
          <cell r="B56" t="str">
            <v>- Công suất: 2000W</v>
          </cell>
        </row>
        <row r="57">
          <cell r="B57" t="str">
            <v>- Dung tích chứa bụi: 1.6 lít</v>
          </cell>
        </row>
        <row r="58">
          <cell r="B58" t="str">
            <v>- Màn lọc HEPA, Nano titanium</v>
          </cell>
        </row>
        <row r="59">
          <cell r="B59" t="str">
            <v xml:space="preserve">- Ống nối dài bằng kim loại  </v>
          </cell>
        </row>
        <row r="60">
          <cell r="B60" t="str">
            <v>Xe đẩy</v>
          </cell>
          <cell r="C60" t="str">
            <v>Cái</v>
          </cell>
          <cell r="D60">
            <v>1</v>
          </cell>
          <cell r="E60">
            <v>636363.63636363635</v>
          </cell>
          <cell r="F60">
            <v>636364</v>
          </cell>
        </row>
        <row r="61">
          <cell r="B61" t="str">
            <v>- Xe đẩy hàng 4 bánh gấp gọn GIGA 150kg – 8023</v>
          </cell>
        </row>
        <row r="62">
          <cell r="B62" t="str">
            <v>- Chiều cao tay đẩy (mm): 82</v>
          </cell>
        </row>
        <row r="63">
          <cell r="B63" t="str">
            <v>- Chiều dài bàn (mm): 735</v>
          </cell>
        </row>
        <row r="64">
          <cell r="B64" t="str">
            <v>- Chiều rộng bàn (mm): 480</v>
          </cell>
        </row>
        <row r="65">
          <cell r="B65" t="str">
            <v>- Chiều cao mặt bàn (mm): 14</v>
          </cell>
        </row>
        <row r="66">
          <cell r="B66" t="str">
            <v>- Trọng lượng (kg): 8</v>
          </cell>
        </row>
        <row r="67">
          <cell r="B67" t="str">
            <v>- Chất liệu sàn: Thép</v>
          </cell>
        </row>
        <row r="68">
          <cell r="B68" t="str">
            <v>Giá để tài liệu</v>
          </cell>
          <cell r="C68" t="str">
            <v>Cái</v>
          </cell>
          <cell r="D68">
            <v>1</v>
          </cell>
          <cell r="E68">
            <v>1882000</v>
          </cell>
          <cell r="F68">
            <v>1882000</v>
          </cell>
        </row>
        <row r="69">
          <cell r="B69" t="str">
            <v>- Nhà sản xuất: Nội thất Xuân Hòa</v>
          </cell>
        </row>
        <row r="70">
          <cell r="B70" t="str">
            <v>- Mã sản phẩm: GTV0200-EL204V</v>
          </cell>
        </row>
        <row r="71">
          <cell r="B71" t="str">
            <v>- Kích thước: L1084xW400xH2000 (mm)</v>
          </cell>
        </row>
        <row r="72">
          <cell r="B72" t="str">
            <v>- Màu sắc: Trắng</v>
          </cell>
        </row>
        <row r="73">
          <cell r="B73" t="str">
            <v>- Chất liệu: Thép sơn tĩnh điện</v>
          </cell>
        </row>
        <row r="74">
          <cell r="B74" t="str">
            <v>- Giá gồm có 1 khoang duy nhất, có 5 đợt chia giá thành 5 ngăn, có 1 nóc</v>
          </cell>
        </row>
        <row r="75">
          <cell r="B75" t="str">
            <v>-  2 bên giá có các ống thép nhỏ</v>
          </cell>
        </row>
        <row r="76">
          <cell r="B76" t="str">
            <v>Máy hút ẩm 1,5 kW</v>
          </cell>
          <cell r="C76" t="str">
            <v>Cái</v>
          </cell>
          <cell r="D76">
            <v>1</v>
          </cell>
          <cell r="E76">
            <v>13350000</v>
          </cell>
          <cell r="F76">
            <v>13350000</v>
          </cell>
        </row>
        <row r="77">
          <cell r="B77" t="str">
            <v xml:space="preserve">- Hiệu: Aikyo </v>
          </cell>
        </row>
        <row r="78">
          <cell r="B78" t="str">
            <v>- Model: AD-1500</v>
          </cell>
        </row>
        <row r="79">
          <cell r="B79" t="str">
            <v>- Công suất điện: 1500W</v>
          </cell>
        </row>
        <row r="80">
          <cell r="B80" t="str">
            <v>- Nguồn điện áp: 220V/50Hz</v>
          </cell>
        </row>
        <row r="81">
          <cell r="B81" t="str">
            <v>- Công suất hút ẩm: 138 lít/ngày</v>
          </cell>
        </row>
        <row r="82">
          <cell r="B82" t="str">
            <v>- Lưu lượng khí khô: 1500 m3/giờ</v>
          </cell>
        </row>
        <row r="83">
          <cell r="B83" t="str">
            <v>- Trọng lượng sản phẩm: 58kg</v>
          </cell>
        </row>
        <row r="84">
          <cell r="B84" t="str">
            <v>- Kích thước máy: 480 x 420 x 1010 (mm)</v>
          </cell>
        </row>
        <row r="85">
          <cell r="B85" t="str">
            <v>- Xuất xứ: Đài Loan</v>
          </cell>
        </row>
        <row r="86">
          <cell r="B86" t="str">
            <v>Găng tay BHLĐ</v>
          </cell>
          <cell r="C86" t="str">
            <v>Đôi</v>
          </cell>
          <cell r="D86">
            <v>1</v>
          </cell>
          <cell r="E86">
            <v>12000</v>
          </cell>
          <cell r="F86">
            <v>12000</v>
          </cell>
        </row>
        <row r="87">
          <cell r="B87" t="str">
            <v>- Găng tay phòng sạch màu trắng phủ bàn</v>
          </cell>
        </row>
        <row r="88">
          <cell r="B88" t="str">
            <v>- Chất liệu: 100% sợi polyeste</v>
          </cell>
        </row>
        <row r="89">
          <cell r="B89" t="str">
            <v>- Cấu tạo: Phủ PU lòng bàn tay</v>
          </cell>
        </row>
        <row r="90">
          <cell r="B90" t="str">
            <v>Khẩu trang</v>
          </cell>
          <cell r="C90" t="str">
            <v>Cái</v>
          </cell>
          <cell r="D90">
            <v>1</v>
          </cell>
          <cell r="E90">
            <v>40000</v>
          </cell>
          <cell r="F90">
            <v>40000</v>
          </cell>
        </row>
        <row r="91">
          <cell r="B91" t="str">
            <v>- Khẩu trang chống độc GP Extreme</v>
          </cell>
        </row>
        <row r="92">
          <cell r="B92" t="str">
            <v>- Gồm 7 lớp lọc. Lớp giữa là than hoạt tính ACF (than sợi cao cấp)</v>
          </cell>
        </row>
        <row r="93">
          <cell r="B93" t="str">
            <v>- Lọc được bụi siêu mịn PM3</v>
          </cell>
        </row>
        <row r="94">
          <cell r="B94" t="str">
            <v>- Thiết kế đeo qua gáy. Nẹp nhôm định hình sống mũi</v>
          </cell>
        </row>
        <row r="95">
          <cell r="B95" t="str">
            <v>- Có thể giặt được</v>
          </cell>
        </row>
        <row r="96">
          <cell r="B96" t="str">
            <v>Thang nhôm</v>
          </cell>
          <cell r="C96" t="str">
            <v>Cái</v>
          </cell>
          <cell r="D96">
            <v>1</v>
          </cell>
          <cell r="E96">
            <v>760000</v>
          </cell>
          <cell r="F96">
            <v>760000</v>
          </cell>
        </row>
        <row r="97">
          <cell r="B97" t="str">
            <v>- Thang chữ A giá rẻ TS20</v>
          </cell>
        </row>
        <row r="98">
          <cell r="B98" t="str">
            <v>- Chiều cao chữ A: 2 m</v>
          </cell>
        </row>
        <row r="99">
          <cell r="B99" t="str">
            <v>- Trọng lượng: 9.5 Kg</v>
          </cell>
        </row>
        <row r="100">
          <cell r="B100" t="str">
            <v>- Tải trọng: 120Kg</v>
          </cell>
        </row>
        <row r="101">
          <cell r="B101" t="str">
            <v>- Chất liệu: Sắt sơn tĩnh điện</v>
          </cell>
        </row>
        <row r="102">
          <cell r="B102" t="str">
            <v>Nhiệt ẩm kế</v>
          </cell>
          <cell r="C102" t="str">
            <v>Cái</v>
          </cell>
          <cell r="D102">
            <v>1</v>
          </cell>
          <cell r="E102">
            <v>285000</v>
          </cell>
          <cell r="F102">
            <v>285000</v>
          </cell>
        </row>
        <row r="103">
          <cell r="B103" t="str">
            <v>- Nhiệt ẩm kế Beurer</v>
          </cell>
        </row>
        <row r="104">
          <cell r="B104" t="str">
            <v>- Model: HM16</v>
          </cell>
        </row>
        <row r="105">
          <cell r="B105" t="str">
            <v>- Trọng lượng: 70 Gr</v>
          </cell>
        </row>
        <row r="106">
          <cell r="B106" t="str">
            <v>- Độ chính xác cao</v>
          </cell>
        </row>
        <row r="107">
          <cell r="B107" t="str">
            <v>- Độ ẩm trong khoảng 20-95 %</v>
          </cell>
        </row>
        <row r="108">
          <cell r="B108" t="str">
            <v>- Đơn vị đo độ C, độ F</v>
          </cell>
        </row>
        <row r="109">
          <cell r="B109" t="str">
            <v>- Màn hình lớn, dễ đọc</v>
          </cell>
        </row>
        <row r="110">
          <cell r="B110" t="str">
            <v>Cây lau nhà</v>
          </cell>
          <cell r="C110" t="str">
            <v>Cái</v>
          </cell>
          <cell r="D110">
            <v>1</v>
          </cell>
          <cell r="E110">
            <v>225000</v>
          </cell>
          <cell r="F110">
            <v>225000</v>
          </cell>
        </row>
        <row r="111">
          <cell r="B111" t="str">
            <v>Cây lau ẩm sàn gỗ 40cm mã C-413</v>
          </cell>
        </row>
        <row r="112">
          <cell r="B112" t="str">
            <v>- Cán: Hợp kim nhôm, dài 1,25m</v>
          </cell>
        </row>
        <row r="113">
          <cell r="B113" t="str">
            <v>- Khung bàn lau: nhựa cao cấp, kích thước 40x15cm</v>
          </cell>
        </row>
        <row r="114">
          <cell r="B114" t="str">
            <v>- Giẻ lau ẩm: 100% vải sợi Microfiber cao cấp.</v>
          </cell>
        </row>
        <row r="115">
          <cell r="B115" t="str">
            <v>Quạt thông gió 0,04 kW</v>
          </cell>
          <cell r="C115" t="str">
            <v>Cái</v>
          </cell>
          <cell r="D115">
            <v>1</v>
          </cell>
          <cell r="E115">
            <v>275000</v>
          </cell>
          <cell r="F115">
            <v>275000</v>
          </cell>
        </row>
        <row r="116">
          <cell r="B116" t="str">
            <v xml:space="preserve">- Hiệu: Senko </v>
          </cell>
        </row>
        <row r="117">
          <cell r="B117" t="str">
            <v>- Model: H250</v>
          </cell>
        </row>
        <row r="118">
          <cell r="B118" t="str">
            <v>- Loại quạt: Quạt hút</v>
          </cell>
        </row>
        <row r="119">
          <cell r="B119" t="str">
            <v>- Công suất: 40W</v>
          </cell>
        </row>
        <row r="120">
          <cell r="B120" t="str">
            <v>- Điện áp sử dụng: 220V- 50Hz</v>
          </cell>
        </row>
        <row r="121">
          <cell r="B121" t="str">
            <v>- Sải cánh: 25 cm</v>
          </cell>
        </row>
        <row r="122">
          <cell r="B122" t="str">
            <v>- Lưu lượng gió: 42 m3/phút</v>
          </cell>
        </row>
        <row r="123">
          <cell r="B123" t="str">
            <v>- Kích thước chừa lỗ tường: 300 x 300 (mm)</v>
          </cell>
        </row>
        <row r="124">
          <cell r="B124" t="str">
            <v>- Màu sắc: Trắng</v>
          </cell>
        </row>
        <row r="125">
          <cell r="B125" t="str">
            <v>- Xuất xứ: Việt Nam</v>
          </cell>
        </row>
        <row r="126">
          <cell r="B126" t="str">
            <v>Con lăn</v>
          </cell>
          <cell r="C126" t="str">
            <v>Cái</v>
          </cell>
          <cell r="D126">
            <v>1</v>
          </cell>
          <cell r="E126">
            <v>30000</v>
          </cell>
          <cell r="F126">
            <v>30000</v>
          </cell>
        </row>
        <row r="127">
          <cell r="B127" t="str">
            <v>- Kích thước: Dài 21cm</v>
          </cell>
        </row>
        <row r="128">
          <cell r="B128" t="str">
            <v>Bàn kính can vẽ</v>
          </cell>
          <cell r="C128" t="str">
            <v>Cái</v>
          </cell>
          <cell r="D128">
            <v>1</v>
          </cell>
          <cell r="E128">
            <v>3520000</v>
          </cell>
          <cell r="F128">
            <v>3520000</v>
          </cell>
        </row>
        <row r="129">
          <cell r="B129" t="str">
            <v>Bàn vẽ kiến trúc DraftingDesk chân sắt mặt kính</v>
          </cell>
        </row>
        <row r="130">
          <cell r="B130" t="str">
            <v>- Kích thước đa dạng phù hợp với khổ A1 hoặc A0</v>
          </cell>
        </row>
        <row r="131">
          <cell r="B131" t="str">
            <v>- Mặt bàn có thể nâng hạ độ nghiêng tùy chỉnh dễ dàng với khớp nâng hiện đại</v>
          </cell>
        </row>
        <row r="132">
          <cell r="B132" t="str">
            <v>- Hai bên hông với hai kệ gỗ chia ô giúp để bút vẽ, thước hay vật dụng vẽ một cách tiện lợi</v>
          </cell>
        </row>
        <row r="133">
          <cell r="B133" t="str">
            <v xml:space="preserve">- Bàn với hệ khung chân bằng sắt hộp 25x50mm và sắt 50x50mm lắp ráp ngàm chắc chắn, hệ mặt bàn khung sắt dán mặt kính cường lực dày 5mm với hệ khung nâng được bắt vào khung chân bằng vít bắt sắt liên kết </v>
          </cell>
        </row>
        <row r="134">
          <cell r="B134" t="str">
            <v>- Bàn khổ A1 kích thước mặt kính: 100x60cm</v>
          </cell>
        </row>
        <row r="135">
          <cell r="B135" t="str">
            <v xml:space="preserve">- Bàn khổ A0 kích thước mặt kính: 120x850cm </v>
          </cell>
        </row>
        <row r="136">
          <cell r="B136" t="str">
            <v xml:space="preserve">- Chiều cao thấp nhất của mặt bàn là: 75cm </v>
          </cell>
        </row>
        <row r="137">
          <cell r="B137" t="str">
            <v>Xô nhựa 10l</v>
          </cell>
          <cell r="C137" t="str">
            <v>Cái</v>
          </cell>
          <cell r="D137">
            <v>1</v>
          </cell>
          <cell r="E137">
            <v>21000</v>
          </cell>
          <cell r="F137">
            <v>21000</v>
          </cell>
        </row>
        <row r="138">
          <cell r="B138" t="str">
            <v>- Hiệu: Việt Nhật</v>
          </cell>
        </row>
        <row r="139">
          <cell r="B139" t="str">
            <v>- Loại có nắp</v>
          </cell>
        </row>
        <row r="140">
          <cell r="B140" t="str">
            <v>- Chất liệu: Nhựa PP nguyên sinh</v>
          </cell>
        </row>
        <row r="141">
          <cell r="B141" t="str">
            <v>Máy hủy tài liệu</v>
          </cell>
          <cell r="C141" t="str">
            <v>Cái</v>
          </cell>
          <cell r="D141">
            <v>1</v>
          </cell>
          <cell r="E141">
            <v>5545455</v>
          </cell>
          <cell r="F141">
            <v>5545455</v>
          </cell>
        </row>
        <row r="142">
          <cell r="B142" t="str">
            <v>- Hãng sản xuất: Silicon</v>
          </cell>
        </row>
        <row r="143">
          <cell r="B143" t="str">
            <v>- Model: PS-880C</v>
          </cell>
        </row>
        <row r="144">
          <cell r="B144" t="str">
            <v>- Công suất tiêu thụ: 300W</v>
          </cell>
        </row>
        <row r="145">
          <cell r="B145" t="str">
            <v>- Kiểu huỷ: Siêu vụn</v>
          </cell>
        </row>
        <row r="146">
          <cell r="B146" t="str">
            <v>- Công suất hủy (70g tờ): 17 tờ/ 1 lần</v>
          </cell>
        </row>
        <row r="147">
          <cell r="B147" t="str">
            <v>- Tự khởi động và dừng khi huỷ tài liệu xong: Có</v>
          </cell>
        </row>
        <row r="148">
          <cell r="B148" t="str">
            <v>- Chức năng trả ngược khi kẹt giấy: Có</v>
          </cell>
        </row>
        <row r="149">
          <cell r="B149" t="str">
            <v>Quần áo BHLĐ</v>
          </cell>
          <cell r="C149" t="str">
            <v>Bộ</v>
          </cell>
          <cell r="D149">
            <v>1</v>
          </cell>
          <cell r="E149">
            <v>135000</v>
          </cell>
          <cell r="F149">
            <v>135000</v>
          </cell>
        </row>
        <row r="150">
          <cell r="B150" t="str">
            <v>- Quần áo chống hoá chất Microgard 2000</v>
          </cell>
        </row>
        <row r="151">
          <cell r="B151" t="str">
            <v>- Chất liệu: Được làm bằng 2 lớp: Phim PE và vải không dệt, giúp ngăn hạt bụi có kích thước &gt;0.1 micromet</v>
          </cell>
        </row>
        <row r="152">
          <cell r="B152" t="str">
            <v>- Size: M, L, XL</v>
          </cell>
        </row>
        <row r="153">
          <cell r="B153" t="str">
            <v>- Loại: Áo liền quần, dùng 1 lần</v>
          </cell>
        </row>
        <row r="154">
          <cell r="B154" t="str">
            <v>Bộ đèn neon 0,04 kW</v>
          </cell>
          <cell r="C154" t="str">
            <v>Bộ</v>
          </cell>
          <cell r="D154">
            <v>1</v>
          </cell>
          <cell r="E154">
            <v>110000</v>
          </cell>
          <cell r="F154">
            <v>105000</v>
          </cell>
        </row>
        <row r="155">
          <cell r="B155" t="str">
            <v>- Loại giao diện: Đuôi E27</v>
          </cell>
        </row>
        <row r="156">
          <cell r="B156" t="str">
            <v>- Điện áp đầu vào: 220V</v>
          </cell>
        </row>
        <row r="157">
          <cell r="B157" t="str">
            <v>- LED Số lượng: 44 pcs</v>
          </cell>
        </row>
        <row r="158">
          <cell r="B158" t="str">
            <v>- Công suất: 40W</v>
          </cell>
        </row>
        <row r="159">
          <cell r="B159" t="str">
            <v>- Chùm tia góc: 360 độ</v>
          </cell>
        </row>
        <row r="160">
          <cell r="B160" t="str">
            <v>- Lumens (lm): 1100-1210LM</v>
          </cell>
        </row>
        <row r="161">
          <cell r="B161" t="str">
            <v>Ghế tựa</v>
          </cell>
          <cell r="C161" t="str">
            <v>Cái</v>
          </cell>
          <cell r="D161">
            <v>1</v>
          </cell>
          <cell r="E161">
            <v>690000</v>
          </cell>
          <cell r="F161">
            <v>690000</v>
          </cell>
        </row>
        <row r="162">
          <cell r="B162" t="str">
            <v>- Ghế xoay văn phòng Hòa Phát</v>
          </cell>
        </row>
        <row r="163">
          <cell r="B163" t="str">
            <v xml:space="preserve">- Model: MN846 </v>
          </cell>
        </row>
        <row r="164">
          <cell r="B164" t="str">
            <v>- Kích thước: W480-590 x D430 x H900-1020 (mm)</v>
          </cell>
        </row>
        <row r="165">
          <cell r="B165" t="str">
            <v>- Chất liệu:  Chân mạ, đệm và tựa mút bọc vải lưới chịu lực. Chân và mâm loại lớn, đệm dầy chắc chắn ...</v>
          </cell>
        </row>
        <row r="166">
          <cell r="B166" t="str">
            <v>-Chân sắt si mạ crome sáng đẹp không han rỉ. Có ben nâng hạ cao thấp và xoay 360 độ</v>
          </cell>
        </row>
        <row r="167">
          <cell r="B167" t="str">
            <v>- Màu sắc: đen</v>
          </cell>
        </row>
        <row r="168">
          <cell r="B168" t="str">
            <v>Bàn làm việc</v>
          </cell>
          <cell r="C168" t="str">
            <v>Cái</v>
          </cell>
          <cell r="D168">
            <v>1</v>
          </cell>
          <cell r="E168">
            <v>1665000</v>
          </cell>
          <cell r="F168">
            <v>1665000</v>
          </cell>
        </row>
        <row r="169">
          <cell r="B169" t="str">
            <v xml:space="preserve">- Bàn nhân viên Hòa Phát </v>
          </cell>
        </row>
        <row r="170">
          <cell r="B170" t="str">
            <v>- Model: AT120SHL3DF</v>
          </cell>
        </row>
        <row r="171">
          <cell r="B171" t="str">
            <v>- Kích thước: W1200 x D600 x H750 (mm)</v>
          </cell>
        </row>
        <row r="172">
          <cell r="B172" t="str">
            <v>- Chất liệu: Gỗ công nghiệp Melamine</v>
          </cell>
        </row>
        <row r="173">
          <cell r="B173" t="str">
            <v>- Bàn nhân viên mặt hình chữ nhật</v>
          </cell>
        </row>
        <row r="174">
          <cell r="B174" t="str">
            <v>- Yếm lửng thẳng, hộc hộc liền sát đất, khay bàn phím tiện dụng</v>
          </cell>
        </row>
        <row r="175">
          <cell r="B175" t="str">
            <v>VẬT LIỆU</v>
          </cell>
        </row>
        <row r="176">
          <cell r="B176" t="str">
            <v>Giấy A4</v>
          </cell>
          <cell r="C176" t="str">
            <v>Gram</v>
          </cell>
          <cell r="D176">
            <v>1</v>
          </cell>
          <cell r="E176">
            <v>81818.181818181809</v>
          </cell>
          <cell r="F176">
            <v>81818</v>
          </cell>
        </row>
        <row r="177">
          <cell r="B177" t="str">
            <v>Giấy A4 Double A 80 gsm</v>
          </cell>
        </row>
        <row r="178">
          <cell r="B178" t="str">
            <v>Sổ công tác</v>
          </cell>
          <cell r="C178" t="str">
            <v>Cuốn</v>
          </cell>
          <cell r="D178">
            <v>1</v>
          </cell>
          <cell r="E178">
            <v>60900</v>
          </cell>
          <cell r="F178">
            <v>60900</v>
          </cell>
        </row>
        <row r="179">
          <cell r="B179" t="str">
            <v>- Kích thước: Khổ A5</v>
          </cell>
        </row>
        <row r="180">
          <cell r="B180" t="str">
            <v>- Bìa da PU</v>
          </cell>
        </row>
        <row r="181">
          <cell r="B181" t="str">
            <v>- Ruột: Số trang 360 trang định lượng 80gsm</v>
          </cell>
        </row>
        <row r="182">
          <cell r="B182" t="str">
            <v>Mực in A4</v>
          </cell>
          <cell r="C182" t="str">
            <v>Hộp</v>
          </cell>
          <cell r="D182">
            <v>1</v>
          </cell>
          <cell r="E182">
            <v>1560000</v>
          </cell>
          <cell r="F182">
            <v>1560000</v>
          </cell>
        </row>
        <row r="183">
          <cell r="B183" t="str">
            <v>Mực in HP 26A Black Original LaserJet Toner Cartridge (CF226A) - Hàng chính hãng</v>
          </cell>
        </row>
        <row r="184">
          <cell r="B184" t="str">
            <v>- Loại mực: Laser trắng đen</v>
          </cell>
        </row>
        <row r="185">
          <cell r="B185" t="str">
            <v>- Dung lượng: 3.100 trang độ phủ 5%</v>
          </cell>
        </row>
        <row r="186">
          <cell r="B186" t="str">
            <v>- Máy dùng: HP M402d / M402n / M402dn / M426dw / M426dw / M426fdw</v>
          </cell>
        </row>
        <row r="187">
          <cell r="B187" t="str">
            <v>Bút bi</v>
          </cell>
          <cell r="C187" t="str">
            <v>Cái</v>
          </cell>
          <cell r="D187">
            <v>1</v>
          </cell>
          <cell r="E187">
            <v>4000</v>
          </cell>
          <cell r="F187">
            <v>4000</v>
          </cell>
        </row>
        <row r="188">
          <cell r="B188" t="str">
            <v>- Bút bi Thiên Long TL-027</v>
          </cell>
        </row>
        <row r="189">
          <cell r="B189" t="str">
            <v>- Đường kính viên bi: 0.5 mm</v>
          </cell>
        </row>
        <row r="190">
          <cell r="B190" t="str">
            <v>- Khối lượng mực: 0.12 - 0.15 g</v>
          </cell>
        </row>
        <row r="191">
          <cell r="B191" t="str">
            <v>- Trọng lượng: 9 gram</v>
          </cell>
        </row>
        <row r="192">
          <cell r="B192" t="str">
            <v>Túi clear A4</v>
          </cell>
          <cell r="C192" t="str">
            <v>Cái</v>
          </cell>
          <cell r="D192">
            <v>1</v>
          </cell>
          <cell r="E192">
            <v>3300</v>
          </cell>
          <cell r="F192">
            <v>3300</v>
          </cell>
        </row>
        <row r="193">
          <cell r="B193" t="str">
            <v>Bút xóa</v>
          </cell>
          <cell r="C193" t="str">
            <v>Cái</v>
          </cell>
          <cell r="D193">
            <v>1</v>
          </cell>
          <cell r="E193">
            <v>22000</v>
          </cell>
          <cell r="F193">
            <v>22000</v>
          </cell>
        </row>
        <row r="194">
          <cell r="B194" t="str">
            <v>Bút xóa kéo Plus lớn 12m - Hàng chính hãng</v>
          </cell>
        </row>
        <row r="195">
          <cell r="B195" t="str">
            <v>Ghim vòng</v>
          </cell>
          <cell r="C195" t="str">
            <v>Hộp</v>
          </cell>
          <cell r="D195">
            <v>1</v>
          </cell>
          <cell r="E195">
            <v>15000</v>
          </cell>
          <cell r="F195">
            <v>15000</v>
          </cell>
        </row>
        <row r="196">
          <cell r="B196" t="str">
            <v>- Ghim Deli 0025 vòng 29mm làm bằng inox không gỉ</v>
          </cell>
        </row>
        <row r="197">
          <cell r="B197" t="str">
            <v>- Đầu tròn và độ cứng cao giúp bạn ghim giấy dễ dàng giữ tập giấy chắc chắn</v>
          </cell>
        </row>
        <row r="198">
          <cell r="B198" t="str">
            <v>- Đóng gói: 100 cái/hộp</v>
          </cell>
        </row>
        <row r="199">
          <cell r="B199" t="str">
            <v>Bìa hồ sơ</v>
          </cell>
          <cell r="C199" t="str">
            <v>Cái</v>
          </cell>
          <cell r="D199">
            <v>1</v>
          </cell>
          <cell r="E199">
            <v>2500</v>
          </cell>
          <cell r="F199">
            <v>2500</v>
          </cell>
        </row>
        <row r="200">
          <cell r="B200" t="str">
            <v>Bìa lá Plus A4 dày</v>
          </cell>
        </row>
        <row r="201">
          <cell r="B201" t="str">
            <v>Cặp tài liệu</v>
          </cell>
          <cell r="C201" t="str">
            <v>Cái</v>
          </cell>
          <cell r="D201">
            <v>1</v>
          </cell>
          <cell r="E201">
            <v>28800</v>
          </cell>
          <cell r="F201">
            <v>25000</v>
          </cell>
        </row>
        <row r="202">
          <cell r="B202" t="str">
            <v>Cặp tài liệu 2 ngăn A4 Deli 5576</v>
          </cell>
        </row>
        <row r="203">
          <cell r="B203" t="str">
            <v>Bút chì</v>
          </cell>
          <cell r="C203" t="str">
            <v>Cái</v>
          </cell>
          <cell r="D203">
            <v>1</v>
          </cell>
          <cell r="E203">
            <v>3600</v>
          </cell>
          <cell r="F203">
            <v>3600</v>
          </cell>
        </row>
        <row r="204">
          <cell r="B204" t="str">
            <v>Bút chì gỗ Thiên Long GP-018</v>
          </cell>
        </row>
        <row r="205">
          <cell r="B205" t="str">
            <v>Tẩy chì</v>
          </cell>
          <cell r="C205" t="str">
            <v>Cái</v>
          </cell>
          <cell r="D205">
            <v>1</v>
          </cell>
          <cell r="E205">
            <v>3000</v>
          </cell>
          <cell r="F205">
            <v>3000</v>
          </cell>
        </row>
        <row r="206">
          <cell r="B206" t="str">
            <v>Gôm (tẩy chì) Thiên Long E06</v>
          </cell>
        </row>
        <row r="207">
          <cell r="B207" t="str">
            <v>Hộp đựng tài liệu</v>
          </cell>
          <cell r="C207" t="str">
            <v>Cái</v>
          </cell>
          <cell r="D207">
            <v>1</v>
          </cell>
          <cell r="E207">
            <v>50000</v>
          </cell>
          <cell r="F207">
            <v>50000</v>
          </cell>
        </row>
        <row r="208">
          <cell r="B208" t="str">
            <v>- Hộp tài liệu 7cm Deli cỡ A4 - Chất liệu PP</v>
          </cell>
        </row>
        <row r="209">
          <cell r="B209" t="str">
            <v>- Mã sản phẩm: W31116</v>
          </cell>
        </row>
        <row r="210">
          <cell r="B210" t="str">
            <v>- Kích cỡ: 235x315x100mm</v>
          </cell>
        </row>
        <row r="211">
          <cell r="B211" t="str">
            <v>- Mặt góc và mặt chính của sản phẩm đều có nhãn để ghi</v>
          </cell>
        </row>
        <row r="212">
          <cell r="B212" t="str">
            <v>- Xuất xứ: Trung Quốc</v>
          </cell>
        </row>
        <row r="213">
          <cell r="B213" t="str">
            <v>Bao (Cặp) đựng tài liệu</v>
          </cell>
          <cell r="C213" t="str">
            <v>Cái</v>
          </cell>
          <cell r="D213">
            <v>1</v>
          </cell>
          <cell r="E213">
            <v>49000</v>
          </cell>
          <cell r="F213">
            <v>49000</v>
          </cell>
        </row>
        <row r="214">
          <cell r="B214" t="str">
            <v xml:space="preserve">- Cặp đựng tài liệu A4 Deli </v>
          </cell>
        </row>
        <row r="215">
          <cell r="B215" t="str">
            <v>- Mã sản phẩm: 72456</v>
          </cell>
        </row>
        <row r="216">
          <cell r="B216" t="str">
            <v>- Loại: 8 ngăn phân trang</v>
          </cell>
        </row>
        <row r="217">
          <cell r="B217" t="str">
            <v>- Chất liệu PP nhẹ</v>
          </cell>
        </row>
        <row r="218">
          <cell r="B218" t="str">
            <v>- Xuất xứ: Trung Quốc</v>
          </cell>
        </row>
        <row r="219">
          <cell r="B219" t="str">
            <v>Hồ dán</v>
          </cell>
          <cell r="C219" t="str">
            <v>Lọ</v>
          </cell>
          <cell r="D219">
            <v>1</v>
          </cell>
          <cell r="E219">
            <v>4500</v>
          </cell>
          <cell r="F219">
            <v>4500</v>
          </cell>
        </row>
        <row r="220">
          <cell r="B220" t="str">
            <v>Keo dán Queen 30ml</v>
          </cell>
        </row>
        <row r="221">
          <cell r="B221" t="str">
            <v>Khăn lau</v>
          </cell>
          <cell r="C221" t="str">
            <v>Cái</v>
          </cell>
          <cell r="D221">
            <v>1</v>
          </cell>
          <cell r="E221">
            <v>5500</v>
          </cell>
          <cell r="F221">
            <v>5500</v>
          </cell>
        </row>
        <row r="222">
          <cell r="B222" t="str">
            <v>- Kích thước: 25x25cm</v>
          </cell>
        </row>
        <row r="223">
          <cell r="B223" t="str">
            <v>- Chất liệu: Cotton</v>
          </cell>
        </row>
        <row r="224">
          <cell r="B224" t="str">
            <v>Thuốc tẩy rửa</v>
          </cell>
          <cell r="C224" t="str">
            <v>Chai</v>
          </cell>
          <cell r="D224">
            <v>1</v>
          </cell>
          <cell r="E224">
            <v>43181.818181818184</v>
          </cell>
          <cell r="F224">
            <v>38000</v>
          </cell>
        </row>
        <row r="225">
          <cell r="B225" t="str">
            <v>Nước tẩy Vim 880ml</v>
          </cell>
        </row>
        <row r="226">
          <cell r="B226" t="str">
            <v>Thuốc diệt mối</v>
          </cell>
          <cell r="C226" t="str">
            <v>Kg</v>
          </cell>
          <cell r="D226">
            <v>1</v>
          </cell>
          <cell r="E226">
            <v>350000</v>
          </cell>
          <cell r="F226">
            <v>350000</v>
          </cell>
        </row>
        <row r="227">
          <cell r="B227" t="str">
            <v>Thuốc diệt mối dạng bột PMC 90DP</v>
          </cell>
        </row>
        <row r="228">
          <cell r="B228" t="str">
            <v>- Nhà sản xuất: Viện Khoa Học Lâm Nghiệp VN</v>
          </cell>
        </row>
        <row r="229">
          <cell r="B229" t="str">
            <v>- Thành phần chính: Natri Florua Silicat 50%, Đồng Sunfat 30%, Axit boric 10%, Phụ gia 10%</v>
          </cell>
        </row>
        <row r="230">
          <cell r="B230" t="str">
            <v>- Đặc trị: Mối</v>
          </cell>
        </row>
        <row r="231">
          <cell r="B231" t="str">
            <v>Thuốc diệt côn trùng</v>
          </cell>
          <cell r="C231" t="str">
            <v>Chai</v>
          </cell>
          <cell r="D231">
            <v>1</v>
          </cell>
          <cell r="E231">
            <v>33000</v>
          </cell>
          <cell r="F231">
            <v>33000</v>
          </cell>
        </row>
        <row r="232">
          <cell r="B232" t="str">
            <v>- Bình xịt côn trùng Reafoxx POWER 300ml</v>
          </cell>
        </row>
        <row r="233">
          <cell r="B233" t="str">
            <v>Thuốc diệt vi sinh vật</v>
          </cell>
          <cell r="C233" t="str">
            <v>Lít</v>
          </cell>
          <cell r="D233">
            <v>1</v>
          </cell>
          <cell r="E233">
            <v>150909.09090909088</v>
          </cell>
          <cell r="F233">
            <v>150909</v>
          </cell>
        </row>
        <row r="234">
          <cell r="B234" t="str">
            <v>- Bình xịt tẩy trắng, diệt nấm mốc GMP Cocorex Mold &amp; Mildew</v>
          </cell>
        </row>
        <row r="235">
          <cell r="B235" t="str">
            <v>- Xuất xứ: Malaysia</v>
          </cell>
        </row>
        <row r="236">
          <cell r="B236" t="str">
            <v>Xà phòng</v>
          </cell>
          <cell r="C236" t="str">
            <v>Túi</v>
          </cell>
          <cell r="D236">
            <v>1</v>
          </cell>
          <cell r="E236">
            <v>49375</v>
          </cell>
          <cell r="F236">
            <v>39000</v>
          </cell>
        </row>
        <row r="237">
          <cell r="B237" t="str">
            <v>- Bột giặt OMO công nghệ giặt xanh giúp xoáy bay vết bẩn loại bỏ mùi hôi 800g</v>
          </cell>
        </row>
        <row r="238">
          <cell r="B238" t="str">
            <v>Bông lau</v>
          </cell>
          <cell r="C238" t="str">
            <v>Kg</v>
          </cell>
          <cell r="D238">
            <v>1</v>
          </cell>
          <cell r="E238">
            <v>70000</v>
          </cell>
          <cell r="F238">
            <v>70000</v>
          </cell>
        </row>
        <row r="239">
          <cell r="B239" t="str">
            <v>- Bông gòn cuộn Batuni dùng trong công nghiệp</v>
          </cell>
        </row>
        <row r="240">
          <cell r="B240" t="str">
            <v>- Thương hiệu: Bông Bạch Tuyết</v>
          </cell>
        </row>
        <row r="241">
          <cell r="B241" t="str">
            <v>Chổi lông</v>
          </cell>
          <cell r="C241" t="str">
            <v>Cái</v>
          </cell>
          <cell r="D241">
            <v>1</v>
          </cell>
          <cell r="E241">
            <v>33000</v>
          </cell>
          <cell r="F241">
            <v>30000</v>
          </cell>
        </row>
        <row r="242">
          <cell r="B242" t="str">
            <v>- Kích thước: Dài 40cm</v>
          </cell>
        </row>
        <row r="243">
          <cell r="B243" t="str">
            <v>- Chất liệu: Nhựa PP siêu dẻo</v>
          </cell>
        </row>
        <row r="244">
          <cell r="B244" t="str">
            <v>Giấy dó</v>
          </cell>
          <cell r="C244" t="str">
            <v>M2</v>
          </cell>
          <cell r="D244">
            <v>1</v>
          </cell>
          <cell r="E244">
            <v>41666.666666666664</v>
          </cell>
          <cell r="F244">
            <v>41667</v>
          </cell>
        </row>
        <row r="245">
          <cell r="B245" t="str">
            <v xml:space="preserve">- Giấy dó nguyên sinh truyền thống Việt Nam </v>
          </cell>
        </row>
        <row r="246">
          <cell r="B246" t="str">
            <v>Vải màn</v>
          </cell>
          <cell r="C246" t="str">
            <v>Mét</v>
          </cell>
          <cell r="D246">
            <v>1</v>
          </cell>
          <cell r="E246">
            <v>25000</v>
          </cell>
          <cell r="F246">
            <v>25000</v>
          </cell>
        </row>
        <row r="247">
          <cell r="B247" t="str">
            <v>- Vải lưới màn tuyn</v>
          </cell>
        </row>
        <row r="248">
          <cell r="B248" t="str">
            <v>Keo dán (hồ dán) bồi giấy chuyên dùng</v>
          </cell>
          <cell r="C248" t="str">
            <v>Gam</v>
          </cell>
          <cell r="D248">
            <v>1</v>
          </cell>
          <cell r="E248">
            <v>5000</v>
          </cell>
          <cell r="F248">
            <v>5000</v>
          </cell>
        </row>
        <row r="249">
          <cell r="B249" t="str">
            <v>- Keo sữa dán giấy VTC PVAC Korea 315</v>
          </cell>
        </row>
        <row r="250">
          <cell r="B250" t="str">
            <v>Ghim dập</v>
          </cell>
          <cell r="C250" t="str">
            <v>Hộp nhỏ</v>
          </cell>
          <cell r="D250">
            <v>1</v>
          </cell>
          <cell r="E250">
            <v>3500</v>
          </cell>
          <cell r="F250">
            <v>3500</v>
          </cell>
        </row>
        <row r="251">
          <cell r="B251" t="str">
            <v>- Đạn ghim Plus số 10</v>
          </cell>
        </row>
        <row r="252">
          <cell r="B252" t="str">
            <v>Ghim kẹp</v>
          </cell>
          <cell r="C252" t="str">
            <v>Hộp</v>
          </cell>
          <cell r="D252">
            <v>1</v>
          </cell>
          <cell r="E252">
            <v>2600</v>
          </cell>
          <cell r="F252">
            <v>2600</v>
          </cell>
        </row>
        <row r="253">
          <cell r="B253" t="str">
            <v>- Ghim kẹp giấy QQ C62</v>
          </cell>
        </row>
        <row r="254">
          <cell r="B254" t="str">
            <v>Đĩa DVD</v>
          </cell>
          <cell r="C254" t="str">
            <v>Cái</v>
          </cell>
          <cell r="D254">
            <v>1</v>
          </cell>
          <cell r="E254">
            <v>18900</v>
          </cell>
          <cell r="F254">
            <v>17000</v>
          </cell>
        </row>
        <row r="255">
          <cell r="B255" t="str">
            <v>- Đĩa DVD-R 4.7GB Maxell  có hộp</v>
          </cell>
        </row>
        <row r="256">
          <cell r="B256" t="str">
            <v>Băng dính to</v>
          </cell>
          <cell r="C256" t="str">
            <v>Cuộn</v>
          </cell>
          <cell r="D256">
            <v>1</v>
          </cell>
          <cell r="E256">
            <v>33000</v>
          </cell>
          <cell r="F256">
            <v>33000</v>
          </cell>
        </row>
        <row r="257">
          <cell r="B257" t="str">
            <v>- Hiệu: Thiên Long</v>
          </cell>
        </row>
      </sheetData>
    </sheetDataSet>
  </externalBook>
</externalLink>
</file>

<file path=xl/tables/table1.xml><?xml version="1.0" encoding="utf-8"?>
<table xmlns="http://schemas.openxmlformats.org/spreadsheetml/2006/main" id="10" name="Table10" displayName="Table10" ref="A7:N363" totalsRowShown="0" dataDxfId="140" headerRowBorderDxfId="141" tableBorderDxfId="139" dataCellStyle="Comma">
  <autoFilter ref="A7:N363"/>
  <tableColumns count="14">
    <tableColumn id="1" name="A" dataDxfId="138"/>
    <tableColumn id="2" name="B" dataDxfId="137"/>
    <tableColumn id="3" name="C" dataDxfId="10"/>
    <tableColumn id="4" name="1" dataDxfId="9" dataCellStyle="Comma"/>
    <tableColumn id="5" name="2" dataDxfId="8" dataCellStyle="Comma"/>
    <tableColumn id="6" name="3" dataDxfId="7" dataCellStyle="Comma"/>
    <tableColumn id="7" name="4" dataDxfId="6" dataCellStyle="Comma"/>
    <tableColumn id="8" name="5" dataDxfId="5" dataCellStyle="Comma"/>
    <tableColumn id="9" name="6=1+...+5" dataDxfId="4" dataCellStyle="Comma"/>
    <tableColumn id="10" name="7=6*15%" dataDxfId="3" dataCellStyle="Comma"/>
    <tableColumn id="13" name="8=(6-2)*15%" dataDxfId="2" dataCellStyle="Comma"/>
    <tableColumn id="11" name="9=6+7" dataDxfId="1" dataCellStyle="Comma"/>
    <tableColumn id="14" name="10=9-2*1,2" dataDxfId="0" dataCellStyle="Comma"/>
    <tableColumn id="12" name="Column1" dataDxfId="136"/>
  </tableColumns>
  <tableStyleInfo name="TableStyleLight16" showFirstColumn="0" showLastColumn="0" showRowStripes="1" showColumnStripes="0"/>
</table>
</file>

<file path=xl/tables/table10.xml><?xml version="1.0" encoding="utf-8"?>
<table xmlns="http://schemas.openxmlformats.org/spreadsheetml/2006/main" id="1" name="Table1" displayName="Table1" ref="A5:F67" totalsRowShown="0" headerRowDxfId="18" dataDxfId="17">
  <autoFilter ref="A5:F67"/>
  <tableColumns count="6">
    <tableColumn id="1" name="STT" dataDxfId="16"/>
    <tableColumn id="2" name="TÊN VẬT TƯ" dataDxfId="15"/>
    <tableColumn id="5" name="Đơn vị tính" dataDxfId="14"/>
    <tableColumn id="3" name="ĐƠN GIÁ_x000a_ (Chưa VAT)" dataDxfId="13" dataCellStyle="Comma"/>
    <tableColumn id="4" name="THỜI HẠN" dataDxfId="12"/>
    <tableColumn id="6" name="Ghi chú" dataDxfId="11"/>
  </tableColumns>
  <tableStyleInfo name="TableStyleLight3" showFirstColumn="0" showLastColumn="0" showRowStripes="1" showColumnStripes="0"/>
</table>
</file>

<file path=xl/tables/table2.xml><?xml version="1.0" encoding="utf-8"?>
<table xmlns="http://schemas.openxmlformats.org/spreadsheetml/2006/main" id="2" name="THIETBI" displayName="THIETBI" ref="A7:J409" totalsRowShown="0" headerRowDxfId="135" dataDxfId="134" tableBorderDxfId="133">
  <autoFilter ref="A7:J409"/>
  <tableColumns count="10">
    <tableColumn id="1" name="TT" dataDxfId="132"/>
    <tableColumn id="2" name="Danh mục thiết bị" dataDxfId="131"/>
    <tableColumn id="3" name="ĐVT" dataDxfId="130"/>
    <tableColumn id="4" name="Công suất" dataDxfId="129"/>
    <tableColumn id="5" name="Mức" dataDxfId="128"/>
    <tableColumn id="6" name="Thời gian (năm)" dataDxfId="127"/>
    <tableColumn id="7" name="Nguyên giá" dataDxfId="126"/>
    <tableColumn id="8" name="Mức khấu hao/ca" dataDxfId="125"/>
    <tableColumn id="9" name="Khấu hao" dataDxfId="124" dataCellStyle="Comma"/>
    <tableColumn id="13" name="Ghi chú" dataDxfId="123"/>
  </tableColumns>
  <tableStyleInfo name="TableStyleLight6" showFirstColumn="0" showLastColumn="0" showRowStripes="1" showColumnStripes="0"/>
</table>
</file>

<file path=xl/tables/table3.xml><?xml version="1.0" encoding="utf-8"?>
<table xmlns="http://schemas.openxmlformats.org/spreadsheetml/2006/main" id="9" name="DUNGCU" displayName="DUNGCU" ref="A6:I459" totalsRowShown="0" headerRowDxfId="122" dataDxfId="120" headerRowBorderDxfId="121" tableBorderDxfId="119">
  <autoFilter ref="A6:I459"/>
  <tableColumns count="9">
    <tableColumn id="1" name="TT" dataDxfId="118"/>
    <tableColumn id="2" name="Danh mục dụng cụ" dataDxfId="117"/>
    <tableColumn id="3" name="ĐVT" dataDxfId="116"/>
    <tableColumn id="4" name="Thời hạn _x000a_(tháng)" dataDxfId="115"/>
    <tableColumn id="5" name="Định mức _x000a_(ca/trường dữ liệu)" dataDxfId="114"/>
    <tableColumn id="6" name="Đơn giá" dataDxfId="113" dataCellStyle="Comma"/>
    <tableColumn id="7" name="Đơn giá/ ca" dataDxfId="112" dataCellStyle="Comma"/>
    <tableColumn id="8" name="Thành tiền" dataDxfId="111" dataCellStyle="Comma"/>
    <tableColumn id="12" name="Ghi chú" dataDxfId="110"/>
  </tableColumns>
  <tableStyleInfo name="TableStyleLight19" showFirstColumn="0" showLastColumn="0" showRowStripes="1" showColumnStripes="0"/>
</table>
</file>

<file path=xl/tables/table4.xml><?xml version="1.0" encoding="utf-8"?>
<table xmlns="http://schemas.openxmlformats.org/spreadsheetml/2006/main" id="8" name="VATLIEU" displayName="VATLIEU" ref="A6:G371" totalsRowShown="0" headerRowDxfId="109" dataDxfId="107" headerRowBorderDxfId="108" tableBorderDxfId="106">
  <autoFilter ref="A6:G371"/>
  <tableColumns count="7">
    <tableColumn id="1" name="TT" dataDxfId="105"/>
    <tableColumn id="2" name="Danh mục vật liệu" dataDxfId="104"/>
    <tableColumn id="3" name="ĐVT" dataDxfId="103"/>
    <tableColumn id="4" name="Định mức _x000a_(ca/trường dữ liệu)" dataDxfId="102"/>
    <tableColumn id="5" name="Đơn giá" dataDxfId="101"/>
    <tableColumn id="6" name="Thành tiền" dataDxfId="100" dataCellStyle="Comma"/>
    <tableColumn id="7" name="Ghi chú" dataDxfId="99"/>
  </tableColumns>
  <tableStyleInfo name="TableStyleLight16" showFirstColumn="0" showLastColumn="0" showRowStripes="1" showColumnStripes="0"/>
</table>
</file>

<file path=xl/tables/table5.xml><?xml version="1.0" encoding="utf-8"?>
<table xmlns="http://schemas.openxmlformats.org/spreadsheetml/2006/main" id="7" name="DIENNANG" displayName="DIENNANG" ref="A7:G304" totalsRowShown="0" headerRowDxfId="98" dataDxfId="96" headerRowBorderDxfId="97" tableBorderDxfId="95">
  <autoFilter ref="A7:G304"/>
  <tableColumns count="7">
    <tableColumn id="1" name="TT" dataDxfId="94"/>
    <tableColumn id="2" name="Danh mục năng lượng" dataDxfId="93"/>
    <tableColumn id="3" name="ĐVT" dataDxfId="92"/>
    <tableColumn id="4" name="Mức tiêu hao" dataDxfId="91"/>
    <tableColumn id="5" name="Đơn giá" dataDxfId="90"/>
    <tableColumn id="6" name="Điện năng" dataDxfId="89" dataCellStyle="Comma"/>
    <tableColumn id="7" name="Ghi chú" dataDxfId="88" dataCellStyle="Comma"/>
  </tableColumns>
  <tableStyleInfo name="TableStyleLight7" showFirstColumn="0" showLastColumn="0" showRowStripes="1" showColumnStripes="0"/>
</table>
</file>

<file path=xl/tables/table6.xml><?xml version="1.0" encoding="utf-8"?>
<table xmlns="http://schemas.openxmlformats.org/spreadsheetml/2006/main" id="6" name="NHANCONG" displayName="NHANCONG" ref="A7:H349" totalsRowShown="0" headerRowDxfId="87" dataDxfId="85" headerRowBorderDxfId="86" tableBorderDxfId="84">
  <autoFilter ref="A7:H349"/>
  <tableColumns count="8">
    <tableColumn id="1" name="STT" dataDxfId="83"/>
    <tableColumn id="2" name="Nội dung" dataDxfId="82"/>
    <tableColumn id="3" name="Đơn vị tính" dataDxfId="81"/>
    <tableColumn id="4" name="Nhóm" dataDxfId="80"/>
    <tableColumn id="5" name="Lương_x000a_ngày" dataDxfId="79" dataCellStyle="Comma"/>
    <tableColumn id="6" name="Định_x000a_mức" dataDxfId="78"/>
    <tableColumn id="7" name="Thành tiền" dataDxfId="77" dataCellStyle="Comma"/>
    <tableColumn id="8" name="Ghi chú" dataDxfId="76"/>
  </tableColumns>
  <tableStyleInfo name="TableStyleLight17" showFirstColumn="0" showLastColumn="0" showRowStripes="1" showColumnStripes="0"/>
</table>
</file>

<file path=xl/tables/table7.xml><?xml version="1.0" encoding="utf-8"?>
<table xmlns="http://schemas.openxmlformats.org/spreadsheetml/2006/main" id="5" name="LUONGNGAY" displayName="LUONGNGAY" ref="A7:P106" totalsRowShown="0" dataDxfId="74" headerRowBorderDxfId="75" tableBorderDxfId="73">
  <autoFilter ref="A7:P106"/>
  <tableColumns count="16">
    <tableColumn id="1" name="STT" dataDxfId="72"/>
    <tableColumn id="2" name="DANH  MỤC  CÔNG  VIỆC" dataDxfId="71"/>
    <tableColumn id="3" name="KTV1" dataDxfId="70"/>
    <tableColumn id="4" name="KTV2" dataDxfId="69"/>
    <tableColumn id="6" name="KTV6" dataDxfId="68"/>
    <tableColumn id="7" name="KS1" dataDxfId="67"/>
    <tableColumn id="8" name="KS2" dataDxfId="66"/>
    <tableColumn id="9" name="KS3" dataDxfId="65"/>
    <tableColumn id="10" name="KS4" dataDxfId="64"/>
    <tableColumn id="11" name="KS7" dataDxfId="63"/>
    <tableColumn id="13" name="Nhóm" dataDxfId="62"/>
    <tableColumn id="14" name="Lương" dataDxfId="61"/>
    <tableColumn id="15" name="Lương BQ" dataDxfId="60"/>
    <tableColumn id="16" name="BHXH, YT,_x000a_TN &amp; KPCĐ" dataDxfId="59"/>
    <tableColumn id="17" name="Lương tổng" dataDxfId="58"/>
    <tableColumn id="18" name="Ghi chú" dataDxfId="57"/>
  </tableColumns>
  <tableStyleInfo name="TableStyleLight17" showFirstColumn="0" showLastColumn="0" showRowStripes="1" showColumnStripes="0"/>
</table>
</file>

<file path=xl/tables/table8.xml><?xml version="1.0" encoding="utf-8"?>
<table xmlns="http://schemas.openxmlformats.org/spreadsheetml/2006/main" id="3" name="THIETBI26" displayName="THIETBI26" ref="A8:J94" totalsRowShown="0" headerRowDxfId="56" dataDxfId="54" headerRowBorderDxfId="55" tableBorderDxfId="53" totalsRowBorderDxfId="52">
  <autoFilter ref="A8:J94"/>
  <tableColumns count="10">
    <tableColumn id="1" name="TT" dataDxfId="51"/>
    <tableColumn id="2" name="Vật liệu" dataDxfId="50"/>
    <tableColumn id="3" name="ĐVT" dataDxfId="49"/>
    <tableColumn id="4" name="Công suất" dataDxfId="48"/>
    <tableColumn id="5" name="Mức (ca/trường)" dataDxfId="47"/>
    <tableColumn id="6" name="Thời gian (năm)" dataDxfId="46"/>
    <tableColumn id="7" name="Nguyên giá" dataDxfId="45" dataCellStyle="Comma"/>
    <tableColumn id="8" name="Mức khấu hao/ca" dataDxfId="44" dataCellStyle="Comma"/>
    <tableColumn id="9" name="Khấu hao" dataDxfId="43" dataCellStyle="Comma"/>
    <tableColumn id="10" name="Ghi chú" dataDxfId="42"/>
  </tableColumns>
  <tableStyleInfo name="TableStyleLight4" showFirstColumn="0" showLastColumn="0" showRowStripes="1" showColumnStripes="0"/>
</table>
</file>

<file path=xl/tables/table9.xml><?xml version="1.0" encoding="utf-8"?>
<table xmlns="http://schemas.openxmlformats.org/spreadsheetml/2006/main" id="4" name="LUONGNGAY26" displayName="LUONGNGAY26" ref="A8:K70" totalsRowShown="0" headerRowDxfId="34" dataDxfId="32" headerRowBorderDxfId="33" tableBorderDxfId="31" totalsRowBorderDxfId="30">
  <autoFilter ref="A8:K70"/>
  <tableColumns count="11">
    <tableColumn id="1" name="STT" dataDxfId="29"/>
    <tableColumn id="2" name="Nội dung" dataDxfId="28"/>
    <tableColumn id="3" name="Đơn vị tính" dataDxfId="27"/>
    <tableColumn id="4" name="Định biên" dataDxfId="26"/>
    <tableColumn id="5" name="KS1" dataDxfId="25">
      <calculatedColumnFormula>2.67*$K$6</calculatedColumnFormula>
    </tableColumn>
    <tableColumn id="6" name="Lương BQ" dataDxfId="24">
      <calculatedColumnFormula>E9/26</calculatedColumnFormula>
    </tableColumn>
    <tableColumn id="7" name="BHXH, YT,_x000a_TN &amp; KPCĐ" dataDxfId="23">
      <calculatedColumnFormula>F9*23.5%</calculatedColumnFormula>
    </tableColumn>
    <tableColumn id="8" name="Lương tổng" dataDxfId="22">
      <calculatedColumnFormula>F9+G9</calculatedColumnFormula>
    </tableColumn>
    <tableColumn id="9" name="Định mức" dataDxfId="21"/>
    <tableColumn id="10" name="Thành tiền" dataDxfId="20">
      <calculatedColumnFormula>H9*I9</calculatedColumnFormula>
    </tableColumn>
    <tableColumn id="11" name="Ghi chú" dataDxfId="19"/>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3.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table" Target="../tables/table5.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364"/>
  <sheetViews>
    <sheetView tabSelected="1" zoomScale="85" zoomScaleNormal="85" workbookViewId="0">
      <pane xSplit="2" ySplit="7" topLeftCell="G300" activePane="bottomRight" state="frozen"/>
      <selection pane="topRight" activeCell="C1" sqref="C1"/>
      <selection pane="bottomLeft" activeCell="A8" sqref="A8"/>
      <selection pane="bottomRight" activeCell="A5" sqref="A5:M363"/>
    </sheetView>
  </sheetViews>
  <sheetFormatPr defaultRowHeight="15" x14ac:dyDescent="0.25"/>
  <cols>
    <col min="1" max="1" width="10.5703125" style="11" customWidth="1"/>
    <col min="2" max="2" width="57.7109375" style="12" customWidth="1"/>
    <col min="3" max="3" width="20.7109375" style="11" customWidth="1"/>
    <col min="4" max="4" width="15.28515625" style="13" bestFit="1" customWidth="1"/>
    <col min="5" max="5" width="15.42578125" style="13" bestFit="1" customWidth="1"/>
    <col min="6" max="6" width="12.85546875" style="13" customWidth="1"/>
    <col min="7" max="7" width="13.28515625" style="426" bestFit="1" customWidth="1"/>
    <col min="8" max="8" width="16.28515625" style="13" customWidth="1"/>
    <col min="9" max="9" width="16.7109375" style="13" bestFit="1" customWidth="1"/>
    <col min="10" max="10" width="15.42578125" style="13" customWidth="1"/>
    <col min="11" max="11" width="16.28515625" style="13" customWidth="1"/>
    <col min="12" max="12" width="15.28515625" style="13" bestFit="1" customWidth="1"/>
    <col min="13" max="13" width="15.28515625" style="13" customWidth="1"/>
    <col min="14" max="14" width="35.28515625" style="346" customWidth="1"/>
    <col min="15" max="15" width="81.140625" style="9" customWidth="1"/>
    <col min="16" max="16384" width="9.140625" style="9"/>
  </cols>
  <sheetData>
    <row r="1" spans="1:14" ht="15.75" x14ac:dyDescent="0.25">
      <c r="A1" s="442" t="s">
        <v>0</v>
      </c>
      <c r="B1" s="442"/>
      <c r="C1" s="442"/>
      <c r="D1" s="442"/>
      <c r="E1" s="442"/>
      <c r="F1" s="442"/>
      <c r="G1" s="442"/>
      <c r="H1" s="442"/>
      <c r="I1" s="442"/>
      <c r="J1" s="442"/>
      <c r="K1" s="442"/>
      <c r="L1" s="442"/>
      <c r="M1" s="361"/>
      <c r="N1" s="344"/>
    </row>
    <row r="2" spans="1:14" ht="15.75" x14ac:dyDescent="0.25">
      <c r="A2" s="443" t="s">
        <v>55</v>
      </c>
      <c r="B2" s="443"/>
      <c r="C2" s="443"/>
      <c r="D2" s="443"/>
      <c r="E2" s="443"/>
      <c r="F2" s="443"/>
      <c r="G2" s="443"/>
      <c r="H2" s="443"/>
      <c r="I2" s="443"/>
      <c r="J2" s="443"/>
      <c r="K2" s="443"/>
      <c r="L2" s="443"/>
      <c r="M2" s="362"/>
      <c r="N2" s="344"/>
    </row>
    <row r="3" spans="1:14" ht="15.75" x14ac:dyDescent="0.25">
      <c r="A3" s="444" t="s">
        <v>664</v>
      </c>
      <c r="B3" s="444"/>
      <c r="C3" s="444"/>
      <c r="D3" s="444"/>
      <c r="E3" s="444"/>
      <c r="F3" s="444"/>
      <c r="G3" s="444"/>
      <c r="H3" s="444"/>
      <c r="I3" s="444"/>
      <c r="J3" s="444"/>
      <c r="K3" s="444"/>
      <c r="L3" s="444"/>
      <c r="M3" s="363"/>
      <c r="N3" s="344"/>
    </row>
    <row r="4" spans="1:14" ht="15.75" x14ac:dyDescent="0.25">
      <c r="A4" s="1"/>
      <c r="B4" s="6"/>
      <c r="C4" s="166"/>
      <c r="D4" s="1"/>
      <c r="E4" s="1"/>
      <c r="F4" s="1"/>
      <c r="G4" s="439"/>
      <c r="H4" s="438"/>
      <c r="I4" s="438"/>
      <c r="J4" s="445" t="s">
        <v>1</v>
      </c>
      <c r="K4" s="445"/>
      <c r="L4" s="445"/>
      <c r="M4" s="363"/>
      <c r="N4" s="344"/>
    </row>
    <row r="5" spans="1:14" ht="15.75" customHeight="1" x14ac:dyDescent="0.25">
      <c r="A5" s="441" t="s">
        <v>2</v>
      </c>
      <c r="B5" s="441" t="s">
        <v>3</v>
      </c>
      <c r="C5" s="441" t="s">
        <v>4</v>
      </c>
      <c r="D5" s="446" t="s">
        <v>5</v>
      </c>
      <c r="E5" s="447"/>
      <c r="F5" s="447"/>
      <c r="G5" s="447"/>
      <c r="H5" s="447"/>
      <c r="I5" s="447"/>
      <c r="J5" s="448" t="s">
        <v>661</v>
      </c>
      <c r="K5" s="449"/>
      <c r="L5" s="450" t="s">
        <v>6</v>
      </c>
      <c r="M5" s="451"/>
      <c r="N5" s="441" t="s">
        <v>53</v>
      </c>
    </row>
    <row r="6" spans="1:14" ht="47.25" x14ac:dyDescent="0.25">
      <c r="A6" s="446"/>
      <c r="B6" s="441"/>
      <c r="C6" s="446"/>
      <c r="D6" s="2" t="s">
        <v>7</v>
      </c>
      <c r="E6" s="167" t="s">
        <v>585</v>
      </c>
      <c r="F6" s="2" t="s">
        <v>584</v>
      </c>
      <c r="G6" s="364" t="s">
        <v>8</v>
      </c>
      <c r="H6" s="2" t="s">
        <v>9</v>
      </c>
      <c r="I6" s="3" t="s">
        <v>10</v>
      </c>
      <c r="J6" s="364" t="s">
        <v>603</v>
      </c>
      <c r="K6" s="364" t="s">
        <v>604</v>
      </c>
      <c r="L6" s="364" t="s">
        <v>603</v>
      </c>
      <c r="M6" s="364" t="s">
        <v>604</v>
      </c>
      <c r="N6" s="441"/>
    </row>
    <row r="7" spans="1:14" ht="15.75" x14ac:dyDescent="0.25">
      <c r="A7" s="134" t="s">
        <v>11</v>
      </c>
      <c r="B7" s="135" t="s">
        <v>12</v>
      </c>
      <c r="C7" s="135" t="s">
        <v>13</v>
      </c>
      <c r="D7" s="136" t="s">
        <v>483</v>
      </c>
      <c r="E7" s="136" t="s">
        <v>484</v>
      </c>
      <c r="F7" s="136" t="s">
        <v>485</v>
      </c>
      <c r="G7" s="136" t="s">
        <v>486</v>
      </c>
      <c r="H7" s="136" t="s">
        <v>487</v>
      </c>
      <c r="I7" s="135" t="s">
        <v>14</v>
      </c>
      <c r="J7" s="137" t="s">
        <v>662</v>
      </c>
      <c r="K7" s="137" t="s">
        <v>663</v>
      </c>
      <c r="L7" s="135" t="s">
        <v>605</v>
      </c>
      <c r="M7" s="373" t="s">
        <v>606</v>
      </c>
      <c r="N7" s="435" t="s">
        <v>470</v>
      </c>
    </row>
    <row r="8" spans="1:14" ht="15.75" x14ac:dyDescent="0.25">
      <c r="A8" s="133" t="s">
        <v>25</v>
      </c>
      <c r="B8" s="55" t="s">
        <v>83</v>
      </c>
      <c r="C8" s="348"/>
      <c r="D8" s="459"/>
      <c r="E8" s="460"/>
      <c r="F8" s="460"/>
      <c r="G8" s="459"/>
      <c r="H8" s="459"/>
      <c r="I8" s="459"/>
      <c r="J8" s="459"/>
      <c r="K8" s="459"/>
      <c r="L8" s="459"/>
      <c r="M8" s="461"/>
      <c r="N8" s="187"/>
    </row>
    <row r="9" spans="1:14" s="10" customFormat="1" ht="15.75" x14ac:dyDescent="0.2">
      <c r="A9" s="78" t="s">
        <v>114</v>
      </c>
      <c r="B9" s="55" t="s">
        <v>15</v>
      </c>
      <c r="C9" s="4"/>
      <c r="D9" s="462"/>
      <c r="E9" s="462"/>
      <c r="F9" s="462"/>
      <c r="G9" s="462"/>
      <c r="H9" s="462"/>
      <c r="I9" s="462"/>
      <c r="J9" s="462"/>
      <c r="K9" s="462"/>
      <c r="L9" s="462"/>
      <c r="M9" s="463"/>
      <c r="N9" s="275"/>
    </row>
    <row r="10" spans="1:14" ht="15.75" x14ac:dyDescent="0.25">
      <c r="A10" s="79" t="s">
        <v>115</v>
      </c>
      <c r="B10" s="37" t="s">
        <v>16</v>
      </c>
      <c r="C10" s="5" t="s">
        <v>411</v>
      </c>
      <c r="D10" s="429">
        <f>NHANCONG!G10</f>
        <v>56.690699999999993</v>
      </c>
      <c r="E10" s="429">
        <f>THIETBI!I11</f>
        <v>0.21852272727272729</v>
      </c>
      <c r="F10" s="429">
        <f>DUNGCU!H10</f>
        <v>0.15261362179487181</v>
      </c>
      <c r="G10" s="429">
        <f>VATLIEU!F10</f>
        <v>8.9769000000000002E-2</v>
      </c>
      <c r="H10" s="429">
        <f>DIENNANG!F11</f>
        <v>1.9077059999999999</v>
      </c>
      <c r="I10" s="429">
        <f>SUM(Table10[[#This Row],[1]:[5]])</f>
        <v>59.059311349067585</v>
      </c>
      <c r="J10" s="429">
        <f>Table10[[#This Row],[6=1+...+5]]*15%</f>
        <v>8.8588967023601377</v>
      </c>
      <c r="K10" s="429">
        <f>(Table10[[#This Row],[6=1+...+5]]-Table10[[#This Row],[2]])*15%</f>
        <v>8.8261182932692286</v>
      </c>
      <c r="L10" s="429">
        <f>Table10[[#This Row],[6=1+...+5]]+Table10[[#This Row],[7=6*15%]]</f>
        <v>67.918208051427726</v>
      </c>
      <c r="M10" s="464">
        <f>I10-E10+K10</f>
        <v>67.666906915064089</v>
      </c>
      <c r="N10" s="187"/>
    </row>
    <row r="11" spans="1:14" ht="38.25" x14ac:dyDescent="0.25">
      <c r="A11" s="79" t="s">
        <v>116</v>
      </c>
      <c r="B11" s="37" t="s">
        <v>17</v>
      </c>
      <c r="C11" s="5"/>
      <c r="D11" s="429"/>
      <c r="E11" s="429"/>
      <c r="F11" s="429"/>
      <c r="G11" s="429"/>
      <c r="H11" s="429"/>
      <c r="I11" s="429"/>
      <c r="J11" s="429"/>
      <c r="K11" s="429"/>
      <c r="L11" s="429"/>
      <c r="M11" s="464"/>
      <c r="N11" s="187" t="s">
        <v>52</v>
      </c>
    </row>
    <row r="12" spans="1:14" ht="15.75" x14ac:dyDescent="0.25">
      <c r="A12" s="232" t="s">
        <v>228</v>
      </c>
      <c r="B12" s="278" t="s">
        <v>413</v>
      </c>
      <c r="C12" s="5"/>
      <c r="D12" s="465"/>
      <c r="E12" s="465"/>
      <c r="F12" s="465"/>
      <c r="G12" s="465"/>
      <c r="H12" s="465"/>
      <c r="I12" s="465"/>
      <c r="J12" s="465"/>
      <c r="K12" s="465"/>
      <c r="L12" s="465"/>
      <c r="M12" s="466"/>
      <c r="N12" s="224"/>
    </row>
    <row r="13" spans="1:14" ht="15.75" x14ac:dyDescent="0.25">
      <c r="A13" s="159" t="s">
        <v>89</v>
      </c>
      <c r="B13" s="48" t="s">
        <v>224</v>
      </c>
      <c r="C13" s="5" t="s">
        <v>411</v>
      </c>
      <c r="D13" s="429">
        <f>NHANCONG!G13</f>
        <v>468.64373999999998</v>
      </c>
      <c r="E13" s="429">
        <f>THIETBI!I16</f>
        <v>13.405090909090911</v>
      </c>
      <c r="F13" s="429">
        <v>0</v>
      </c>
      <c r="G13" s="429">
        <v>0</v>
      </c>
      <c r="H13" s="429">
        <v>0</v>
      </c>
      <c r="I13" s="429">
        <f>SUM(Table10[[#This Row],[1]:[5]])</f>
        <v>482.0488309090909</v>
      </c>
      <c r="J13" s="429">
        <f>Table10[[#This Row],[6=1+...+5]]*15%</f>
        <v>72.307324636363631</v>
      </c>
      <c r="K13" s="429">
        <f>(Table10[[#This Row],[6=1+...+5]]-Table10[[#This Row],[2]])*15%</f>
        <v>70.296560999999997</v>
      </c>
      <c r="L13" s="429">
        <f>Table10[[#This Row],[6=1+...+5]]+Table10[[#This Row],[7=6*15%]]</f>
        <v>554.3561555454545</v>
      </c>
      <c r="M13" s="464">
        <f t="shared" ref="M13:M20" si="0">I13-E13+K13</f>
        <v>538.94030099999998</v>
      </c>
      <c r="N13" s="187"/>
    </row>
    <row r="14" spans="1:14" ht="15.75" x14ac:dyDescent="0.25">
      <c r="A14" s="159" t="s">
        <v>89</v>
      </c>
      <c r="B14" s="48" t="s">
        <v>232</v>
      </c>
      <c r="C14" s="5" t="s">
        <v>411</v>
      </c>
      <c r="D14" s="429">
        <f>NHANCONG!G14</f>
        <v>831.46469999999999</v>
      </c>
      <c r="E14" s="429">
        <f>THIETBI!I17</f>
        <v>223.41818181818181</v>
      </c>
      <c r="F14" s="429">
        <v>0</v>
      </c>
      <c r="G14" s="429">
        <v>0</v>
      </c>
      <c r="H14" s="429">
        <v>0</v>
      </c>
      <c r="I14" s="429">
        <f>SUM(Table10[[#This Row],[1]:[5]])</f>
        <v>1054.8828818181819</v>
      </c>
      <c r="J14" s="429">
        <f>Table10[[#This Row],[6=1+...+5]]*15%</f>
        <v>158.23243227272727</v>
      </c>
      <c r="K14" s="429">
        <f>(Table10[[#This Row],[6=1+...+5]]-Table10[[#This Row],[2]])*15%</f>
        <v>124.719705</v>
      </c>
      <c r="L14" s="429">
        <f>Table10[[#This Row],[6=1+...+5]]+Table10[[#This Row],[7=6*15%]]</f>
        <v>1213.1153140909091</v>
      </c>
      <c r="M14" s="464">
        <f t="shared" si="0"/>
        <v>956.18440500000008</v>
      </c>
      <c r="N14" s="187"/>
    </row>
    <row r="15" spans="1:14" ht="15.75" x14ac:dyDescent="0.25">
      <c r="A15" s="159" t="s">
        <v>89</v>
      </c>
      <c r="B15" s="48" t="s">
        <v>225</v>
      </c>
      <c r="C15" s="5" t="s">
        <v>412</v>
      </c>
      <c r="D15" s="429">
        <f>NHANCONG!G15</f>
        <v>8571.6451799999995</v>
      </c>
      <c r="E15" s="429">
        <f>THIETBI!I18</f>
        <v>13.405090909090911</v>
      </c>
      <c r="F15" s="429">
        <v>0</v>
      </c>
      <c r="G15" s="429">
        <v>0</v>
      </c>
      <c r="H15" s="429">
        <v>0</v>
      </c>
      <c r="I15" s="429">
        <f>SUM(Table10[[#This Row],[1]:[5]])</f>
        <v>8585.0502709090906</v>
      </c>
      <c r="J15" s="429">
        <f>Table10[[#This Row],[6=1+...+5]]*15%</f>
        <v>1287.7575406363635</v>
      </c>
      <c r="K15" s="429">
        <f>(Table10[[#This Row],[6=1+...+5]]-Table10[[#This Row],[2]])*15%</f>
        <v>1285.7467769999998</v>
      </c>
      <c r="L15" s="429">
        <f>Table10[[#This Row],[6=1+...+5]]+Table10[[#This Row],[7=6*15%]]</f>
        <v>9872.8078115454537</v>
      </c>
      <c r="M15" s="464">
        <f t="shared" si="0"/>
        <v>9857.3919569999998</v>
      </c>
      <c r="N15" s="187"/>
    </row>
    <row r="16" spans="1:14" ht="15.75" x14ac:dyDescent="0.25">
      <c r="A16" s="159" t="s">
        <v>89</v>
      </c>
      <c r="B16" s="48" t="s">
        <v>233</v>
      </c>
      <c r="C16" s="5" t="s">
        <v>412</v>
      </c>
      <c r="D16" s="429">
        <f>NHANCONG!G16</f>
        <v>10128.7518</v>
      </c>
      <c r="E16" s="429">
        <f>THIETBI!I19</f>
        <v>223.41818181818181</v>
      </c>
      <c r="F16" s="429">
        <v>0</v>
      </c>
      <c r="G16" s="429">
        <v>0</v>
      </c>
      <c r="H16" s="429">
        <v>0</v>
      </c>
      <c r="I16" s="429">
        <f>SUM(Table10[[#This Row],[1]:[5]])</f>
        <v>10352.169981818182</v>
      </c>
      <c r="J16" s="429">
        <f>Table10[[#This Row],[6=1+...+5]]*15%</f>
        <v>1552.8254972727273</v>
      </c>
      <c r="K16" s="429">
        <f>(Table10[[#This Row],[6=1+...+5]]-Table10[[#This Row],[2]])*15%</f>
        <v>1519.31277</v>
      </c>
      <c r="L16" s="429">
        <f>Table10[[#This Row],[6=1+...+5]]+Table10[[#This Row],[7=6*15%]]</f>
        <v>11904.995479090911</v>
      </c>
      <c r="M16" s="464">
        <f t="shared" si="0"/>
        <v>11648.06457</v>
      </c>
      <c r="N16" s="187"/>
    </row>
    <row r="17" spans="1:14" ht="31.5" x14ac:dyDescent="0.25">
      <c r="A17" s="159" t="s">
        <v>89</v>
      </c>
      <c r="B17" s="48" t="s">
        <v>226</v>
      </c>
      <c r="C17" s="5" t="s">
        <v>411</v>
      </c>
      <c r="D17" s="429">
        <f>NHANCONG!G17</f>
        <v>136.05786000000001</v>
      </c>
      <c r="E17" s="429">
        <f>THIETBI!I20</f>
        <v>13.405090909090911</v>
      </c>
      <c r="F17" s="429">
        <v>0</v>
      </c>
      <c r="G17" s="429">
        <v>0</v>
      </c>
      <c r="H17" s="429">
        <v>0</v>
      </c>
      <c r="I17" s="429">
        <f>SUM(Table10[[#This Row],[1]:[5]])</f>
        <v>149.46295090909092</v>
      </c>
      <c r="J17" s="429">
        <f>Table10[[#This Row],[6=1+...+5]]*15%</f>
        <v>22.419442636363637</v>
      </c>
      <c r="K17" s="429">
        <f>(Table10[[#This Row],[6=1+...+5]]-Table10[[#This Row],[2]])*15%</f>
        <v>20.408678999999999</v>
      </c>
      <c r="L17" s="429">
        <f>Table10[[#This Row],[6=1+...+5]]+Table10[[#This Row],[7=6*15%]]</f>
        <v>171.88239354545456</v>
      </c>
      <c r="M17" s="464">
        <f t="shared" si="0"/>
        <v>156.46653900000001</v>
      </c>
      <c r="N17" s="187"/>
    </row>
    <row r="18" spans="1:14" ht="31.5" x14ac:dyDescent="0.25">
      <c r="A18" s="159" t="s">
        <v>89</v>
      </c>
      <c r="B18" s="48" t="s">
        <v>234</v>
      </c>
      <c r="C18" s="5" t="s">
        <v>411</v>
      </c>
      <c r="D18" s="429">
        <f>NHANCONG!G18</f>
        <v>226.76309999999998</v>
      </c>
      <c r="E18" s="429">
        <f>THIETBI!I21</f>
        <v>58.088727272727262</v>
      </c>
      <c r="F18" s="429">
        <v>0</v>
      </c>
      <c r="G18" s="429">
        <v>0</v>
      </c>
      <c r="H18" s="429">
        <v>0</v>
      </c>
      <c r="I18" s="429">
        <f>SUM(Table10[[#This Row],[1]:[5]])</f>
        <v>284.85182727272723</v>
      </c>
      <c r="J18" s="429">
        <f>Table10[[#This Row],[6=1+...+5]]*15%</f>
        <v>42.727774090909087</v>
      </c>
      <c r="K18" s="429">
        <f>(Table10[[#This Row],[6=1+...+5]]-Table10[[#This Row],[2]])*15%</f>
        <v>34.014464999999994</v>
      </c>
      <c r="L18" s="429">
        <f>Table10[[#This Row],[6=1+...+5]]+Table10[[#This Row],[7=6*15%]]</f>
        <v>327.5796013636363</v>
      </c>
      <c r="M18" s="464">
        <f t="shared" si="0"/>
        <v>260.77756499999998</v>
      </c>
      <c r="N18" s="187"/>
    </row>
    <row r="19" spans="1:14" ht="15.75" x14ac:dyDescent="0.25">
      <c r="A19" s="159" t="s">
        <v>89</v>
      </c>
      <c r="B19" s="48" t="s">
        <v>227</v>
      </c>
      <c r="C19" s="5" t="s">
        <v>412</v>
      </c>
      <c r="D19" s="429">
        <f>NHANCONG!G19</f>
        <v>2161.8082199999999</v>
      </c>
      <c r="E19" s="429">
        <f>THIETBI!I22</f>
        <v>13.405090909090911</v>
      </c>
      <c r="F19" s="429">
        <v>0</v>
      </c>
      <c r="G19" s="429">
        <v>0</v>
      </c>
      <c r="H19" s="429">
        <v>0</v>
      </c>
      <c r="I19" s="429">
        <f>SUM(Table10[[#This Row],[1]:[5]])</f>
        <v>2175.213310909091</v>
      </c>
      <c r="J19" s="429">
        <f>Table10[[#This Row],[6=1+...+5]]*15%</f>
        <v>326.28199663636366</v>
      </c>
      <c r="K19" s="429">
        <f>(Table10[[#This Row],[6=1+...+5]]-Table10[[#This Row],[2]])*15%</f>
        <v>324.271233</v>
      </c>
      <c r="L19" s="429">
        <f>Table10[[#This Row],[6=1+...+5]]+Table10[[#This Row],[7=6*15%]]</f>
        <v>2501.4953075454546</v>
      </c>
      <c r="M19" s="464">
        <f t="shared" si="0"/>
        <v>2486.0794529999998</v>
      </c>
      <c r="N19" s="187"/>
    </row>
    <row r="20" spans="1:14" ht="15.75" x14ac:dyDescent="0.25">
      <c r="A20" s="159" t="s">
        <v>89</v>
      </c>
      <c r="B20" s="48" t="s">
        <v>227</v>
      </c>
      <c r="C20" s="5" t="s">
        <v>412</v>
      </c>
      <c r="D20" s="429">
        <f>NHANCONG!G20</f>
        <v>2569.9818</v>
      </c>
      <c r="E20" s="429">
        <f>THIETBI!I23</f>
        <v>58.088727272727262</v>
      </c>
      <c r="F20" s="429">
        <v>0</v>
      </c>
      <c r="G20" s="429">
        <v>0</v>
      </c>
      <c r="H20" s="429">
        <v>0</v>
      </c>
      <c r="I20" s="429">
        <f>SUM(Table10[[#This Row],[1]:[5]])</f>
        <v>2628.0705272727273</v>
      </c>
      <c r="J20" s="429">
        <f>Table10[[#This Row],[6=1+...+5]]*15%</f>
        <v>394.21057909090911</v>
      </c>
      <c r="K20" s="429">
        <f>(Table10[[#This Row],[6=1+...+5]]-Table10[[#This Row],[2]])*15%</f>
        <v>385.49727000000001</v>
      </c>
      <c r="L20" s="429">
        <f>Table10[[#This Row],[6=1+...+5]]+Table10[[#This Row],[7=6*15%]]</f>
        <v>3022.2811063636364</v>
      </c>
      <c r="M20" s="464">
        <f t="shared" si="0"/>
        <v>2955.4790699999999</v>
      </c>
      <c r="N20" s="187"/>
    </row>
    <row r="21" spans="1:14" ht="15.75" x14ac:dyDescent="0.25">
      <c r="A21" s="232" t="s">
        <v>229</v>
      </c>
      <c r="B21" s="278" t="s">
        <v>414</v>
      </c>
      <c r="C21" s="5"/>
      <c r="D21" s="465"/>
      <c r="E21" s="465"/>
      <c r="F21" s="465"/>
      <c r="G21" s="465"/>
      <c r="H21" s="465"/>
      <c r="I21" s="465"/>
      <c r="J21" s="465"/>
      <c r="K21" s="465"/>
      <c r="L21" s="465"/>
      <c r="M21" s="466"/>
      <c r="N21" s="224"/>
    </row>
    <row r="22" spans="1:14" ht="15.75" x14ac:dyDescent="0.25">
      <c r="A22" s="159" t="s">
        <v>89</v>
      </c>
      <c r="B22" s="48" t="s">
        <v>224</v>
      </c>
      <c r="C22" s="5" t="s">
        <v>411</v>
      </c>
      <c r="D22" s="429">
        <f>NHANCONG!G22</f>
        <v>585.80467499999997</v>
      </c>
      <c r="E22" s="429">
        <f>THIETBI!I25</f>
        <v>16.854545454545455</v>
      </c>
      <c r="F22" s="429">
        <v>0</v>
      </c>
      <c r="G22" s="429">
        <v>0</v>
      </c>
      <c r="H22" s="429">
        <v>0</v>
      </c>
      <c r="I22" s="429">
        <f>SUM(Table10[[#This Row],[1]:[5]])</f>
        <v>602.65922045454545</v>
      </c>
      <c r="J22" s="429">
        <f>Table10[[#This Row],[6=1+...+5]]*15%</f>
        <v>90.398883068181817</v>
      </c>
      <c r="K22" s="429">
        <f>(Table10[[#This Row],[6=1+...+5]]-Table10[[#This Row],[2]])*15%</f>
        <v>87.870701249999996</v>
      </c>
      <c r="L22" s="429">
        <f>Table10[[#This Row],[6=1+...+5]]+Table10[[#This Row],[7=6*15%]]</f>
        <v>693.05810352272727</v>
      </c>
      <c r="M22" s="464">
        <f t="shared" ref="M22:M29" si="1">I22-E22+K22</f>
        <v>673.67537625</v>
      </c>
      <c r="N22" s="187"/>
    </row>
    <row r="23" spans="1:14" ht="15.75" x14ac:dyDescent="0.25">
      <c r="A23" s="159" t="s">
        <v>89</v>
      </c>
      <c r="B23" s="48" t="s">
        <v>232</v>
      </c>
      <c r="C23" s="5" t="s">
        <v>411</v>
      </c>
      <c r="D23" s="429">
        <f>NHANCONG!G23</f>
        <v>1039.3308749999999</v>
      </c>
      <c r="E23" s="429">
        <f>THIETBI!I26</f>
        <v>280.90909090909088</v>
      </c>
      <c r="F23" s="429">
        <v>0</v>
      </c>
      <c r="G23" s="429">
        <v>0</v>
      </c>
      <c r="H23" s="429">
        <v>0</v>
      </c>
      <c r="I23" s="429">
        <f>SUM(Table10[[#This Row],[1]:[5]])</f>
        <v>1320.2399659090906</v>
      </c>
      <c r="J23" s="429">
        <f>Table10[[#This Row],[6=1+...+5]]*15%</f>
        <v>198.0359948863636</v>
      </c>
      <c r="K23" s="429">
        <f>(Table10[[#This Row],[6=1+...+5]]-Table10[[#This Row],[2]])*15%</f>
        <v>155.89963124999994</v>
      </c>
      <c r="L23" s="429">
        <f>Table10[[#This Row],[6=1+...+5]]+Table10[[#This Row],[7=6*15%]]</f>
        <v>1518.2759607954542</v>
      </c>
      <c r="M23" s="464">
        <f t="shared" si="1"/>
        <v>1195.2305062499995</v>
      </c>
      <c r="N23" s="187"/>
    </row>
    <row r="24" spans="1:14" ht="15.75" x14ac:dyDescent="0.25">
      <c r="A24" s="159" t="s">
        <v>89</v>
      </c>
      <c r="B24" s="48" t="s">
        <v>225</v>
      </c>
      <c r="C24" s="5" t="s">
        <v>412</v>
      </c>
      <c r="D24" s="429">
        <f>NHANCONG!G24</f>
        <v>10714.556474999999</v>
      </c>
      <c r="E24" s="429">
        <f>THIETBI!I27</f>
        <v>16.854545454545455</v>
      </c>
      <c r="F24" s="429">
        <v>0</v>
      </c>
      <c r="G24" s="429">
        <v>0</v>
      </c>
      <c r="H24" s="429">
        <v>0</v>
      </c>
      <c r="I24" s="429">
        <f>SUM(Table10[[#This Row],[1]:[5]])</f>
        <v>10731.411020454545</v>
      </c>
      <c r="J24" s="429">
        <f>Table10[[#This Row],[6=1+...+5]]*15%</f>
        <v>1609.7116530681817</v>
      </c>
      <c r="K24" s="429">
        <f>(Table10[[#This Row],[6=1+...+5]]-Table10[[#This Row],[2]])*15%</f>
        <v>1607.1834712499999</v>
      </c>
      <c r="L24" s="429">
        <f>Table10[[#This Row],[6=1+...+5]]+Table10[[#This Row],[7=6*15%]]</f>
        <v>12341.122673522726</v>
      </c>
      <c r="M24" s="464">
        <f t="shared" si="1"/>
        <v>12321.73994625</v>
      </c>
      <c r="N24" s="187"/>
    </row>
    <row r="25" spans="1:14" ht="15.75" x14ac:dyDescent="0.25">
      <c r="A25" s="159" t="s">
        <v>89</v>
      </c>
      <c r="B25" s="48" t="s">
        <v>233</v>
      </c>
      <c r="C25" s="5" t="s">
        <v>412</v>
      </c>
      <c r="D25" s="429">
        <f>NHANCONG!G25</f>
        <v>12660.939750000001</v>
      </c>
      <c r="E25" s="429">
        <f>THIETBI!I28</f>
        <v>280.90909090909088</v>
      </c>
      <c r="F25" s="429">
        <v>0</v>
      </c>
      <c r="G25" s="429">
        <v>0</v>
      </c>
      <c r="H25" s="429">
        <v>0</v>
      </c>
      <c r="I25" s="429">
        <f>SUM(Table10[[#This Row],[1]:[5]])</f>
        <v>12941.848840909091</v>
      </c>
      <c r="J25" s="429">
        <f>Table10[[#This Row],[6=1+...+5]]*15%</f>
        <v>1941.2773261363636</v>
      </c>
      <c r="K25" s="429">
        <f>(Table10[[#This Row],[6=1+...+5]]-Table10[[#This Row],[2]])*15%</f>
        <v>1899.1409625000001</v>
      </c>
      <c r="L25" s="429">
        <f>Table10[[#This Row],[6=1+...+5]]+Table10[[#This Row],[7=6*15%]]</f>
        <v>14883.126167045455</v>
      </c>
      <c r="M25" s="464">
        <f t="shared" si="1"/>
        <v>14560.080712500001</v>
      </c>
      <c r="N25" s="187"/>
    </row>
    <row r="26" spans="1:14" ht="31.5" x14ac:dyDescent="0.25">
      <c r="A26" s="159" t="s">
        <v>89</v>
      </c>
      <c r="B26" s="48" t="s">
        <v>226</v>
      </c>
      <c r="C26" s="5" t="s">
        <v>411</v>
      </c>
      <c r="D26" s="429">
        <f>NHANCONG!G26</f>
        <v>170.07232500000001</v>
      </c>
      <c r="E26" s="429">
        <f>THIETBI!I29</f>
        <v>16.854545454545455</v>
      </c>
      <c r="F26" s="429">
        <v>0</v>
      </c>
      <c r="G26" s="429">
        <v>0</v>
      </c>
      <c r="H26" s="429">
        <v>0</v>
      </c>
      <c r="I26" s="429">
        <f>SUM(Table10[[#This Row],[1]:[5]])</f>
        <v>186.92687045454545</v>
      </c>
      <c r="J26" s="429">
        <f>Table10[[#This Row],[6=1+...+5]]*15%</f>
        <v>28.039030568181818</v>
      </c>
      <c r="K26" s="429">
        <f>(Table10[[#This Row],[6=1+...+5]]-Table10[[#This Row],[2]])*15%</f>
        <v>25.510848750000001</v>
      </c>
      <c r="L26" s="429">
        <f>Table10[[#This Row],[6=1+...+5]]+Table10[[#This Row],[7=6*15%]]</f>
        <v>214.96590102272728</v>
      </c>
      <c r="M26" s="464">
        <f t="shared" si="1"/>
        <v>195.58317375000001</v>
      </c>
      <c r="N26" s="187"/>
    </row>
    <row r="27" spans="1:14" ht="31.5" x14ac:dyDescent="0.25">
      <c r="A27" s="159" t="s">
        <v>89</v>
      </c>
      <c r="B27" s="48" t="s">
        <v>234</v>
      </c>
      <c r="C27" s="5" t="s">
        <v>411</v>
      </c>
      <c r="D27" s="429">
        <f>NHANCONG!G27</f>
        <v>283.45387499999998</v>
      </c>
      <c r="E27" s="429">
        <f>THIETBI!I30</f>
        <v>73.036363636363618</v>
      </c>
      <c r="F27" s="429">
        <v>0</v>
      </c>
      <c r="G27" s="429">
        <v>0</v>
      </c>
      <c r="H27" s="429">
        <v>0</v>
      </c>
      <c r="I27" s="429">
        <f>SUM(Table10[[#This Row],[1]:[5]])</f>
        <v>356.49023863636359</v>
      </c>
      <c r="J27" s="429">
        <f>Table10[[#This Row],[6=1+...+5]]*15%</f>
        <v>53.473535795454538</v>
      </c>
      <c r="K27" s="429">
        <f>(Table10[[#This Row],[6=1+...+5]]-Table10[[#This Row],[2]])*15%</f>
        <v>42.518081249999994</v>
      </c>
      <c r="L27" s="429">
        <f>Table10[[#This Row],[6=1+...+5]]+Table10[[#This Row],[7=6*15%]]</f>
        <v>409.96377443181814</v>
      </c>
      <c r="M27" s="464">
        <f t="shared" si="1"/>
        <v>325.97195624999995</v>
      </c>
      <c r="N27" s="187"/>
    </row>
    <row r="28" spans="1:14" ht="15.75" x14ac:dyDescent="0.25">
      <c r="A28" s="159" t="s">
        <v>89</v>
      </c>
      <c r="B28" s="48" t="s">
        <v>227</v>
      </c>
      <c r="C28" s="5" t="s">
        <v>412</v>
      </c>
      <c r="D28" s="429">
        <f>NHANCONG!G28</f>
        <v>2702.2602750000001</v>
      </c>
      <c r="E28" s="429">
        <f>THIETBI!I31</f>
        <v>16.854545454545455</v>
      </c>
      <c r="F28" s="429">
        <v>0</v>
      </c>
      <c r="G28" s="429">
        <v>0</v>
      </c>
      <c r="H28" s="429">
        <v>0</v>
      </c>
      <c r="I28" s="429">
        <f>SUM(Table10[[#This Row],[1]:[5]])</f>
        <v>2719.1148204545457</v>
      </c>
      <c r="J28" s="429">
        <f>Table10[[#This Row],[6=1+...+5]]*15%</f>
        <v>407.86722306818183</v>
      </c>
      <c r="K28" s="429">
        <f>(Table10[[#This Row],[6=1+...+5]]-Table10[[#This Row],[2]])*15%</f>
        <v>405.33904124999998</v>
      </c>
      <c r="L28" s="429">
        <f>Table10[[#This Row],[6=1+...+5]]+Table10[[#This Row],[7=6*15%]]</f>
        <v>3126.9820435227275</v>
      </c>
      <c r="M28" s="464">
        <f t="shared" si="1"/>
        <v>3107.5993162499999</v>
      </c>
      <c r="N28" s="187"/>
    </row>
    <row r="29" spans="1:14" ht="15.75" x14ac:dyDescent="0.25">
      <c r="A29" s="159" t="s">
        <v>89</v>
      </c>
      <c r="B29" s="48" t="s">
        <v>227</v>
      </c>
      <c r="C29" s="5" t="s">
        <v>412</v>
      </c>
      <c r="D29" s="429">
        <f>NHANCONG!G29</f>
        <v>3212.4772500000004</v>
      </c>
      <c r="E29" s="429">
        <f>THIETBI!I32</f>
        <v>73.036363636363618</v>
      </c>
      <c r="F29" s="429">
        <v>0</v>
      </c>
      <c r="G29" s="429">
        <v>0</v>
      </c>
      <c r="H29" s="429">
        <v>0</v>
      </c>
      <c r="I29" s="429">
        <f>SUM(Table10[[#This Row],[1]:[5]])</f>
        <v>3285.513613636364</v>
      </c>
      <c r="J29" s="429">
        <f>Table10[[#This Row],[6=1+...+5]]*15%</f>
        <v>492.82704204545456</v>
      </c>
      <c r="K29" s="429">
        <f>(Table10[[#This Row],[6=1+...+5]]-Table10[[#This Row],[2]])*15%</f>
        <v>481.87158750000003</v>
      </c>
      <c r="L29" s="429">
        <f>Table10[[#This Row],[6=1+...+5]]+Table10[[#This Row],[7=6*15%]]</f>
        <v>3778.3406556818186</v>
      </c>
      <c r="M29" s="464">
        <f t="shared" si="1"/>
        <v>3694.3488375000006</v>
      </c>
      <c r="N29" s="187"/>
    </row>
    <row r="30" spans="1:14" ht="15.75" x14ac:dyDescent="0.25">
      <c r="A30" s="232" t="s">
        <v>230</v>
      </c>
      <c r="B30" s="278" t="s">
        <v>415</v>
      </c>
      <c r="C30" s="5"/>
      <c r="D30" s="465"/>
      <c r="E30" s="465"/>
      <c r="F30" s="465"/>
      <c r="G30" s="465"/>
      <c r="H30" s="465"/>
      <c r="I30" s="465"/>
      <c r="J30" s="465"/>
      <c r="K30" s="465"/>
      <c r="L30" s="465"/>
      <c r="M30" s="466"/>
      <c r="N30" s="224"/>
    </row>
    <row r="31" spans="1:14" ht="15.75" x14ac:dyDescent="0.25">
      <c r="A31" s="159" t="s">
        <v>89</v>
      </c>
      <c r="B31" s="48" t="s">
        <v>224</v>
      </c>
      <c r="C31" s="5" t="s">
        <v>411</v>
      </c>
      <c r="D31" s="429">
        <f>NHANCONG!G31</f>
        <v>761.54607749999991</v>
      </c>
      <c r="E31" s="429">
        <f>THIETBI!I34</f>
        <v>22.102363636363638</v>
      </c>
      <c r="F31" s="429">
        <v>0</v>
      </c>
      <c r="G31" s="429">
        <v>0</v>
      </c>
      <c r="H31" s="429">
        <v>0</v>
      </c>
      <c r="I31" s="429">
        <f>SUM(Table10[[#This Row],[1]:[5]])</f>
        <v>783.64844113636354</v>
      </c>
      <c r="J31" s="429">
        <f>Table10[[#This Row],[6=1+...+5]]*15%</f>
        <v>117.54726617045452</v>
      </c>
      <c r="K31" s="429">
        <f>(Table10[[#This Row],[6=1+...+5]]-Table10[[#This Row],[2]])*15%</f>
        <v>114.23191162499998</v>
      </c>
      <c r="L31" s="429">
        <f>Table10[[#This Row],[6=1+...+5]]+Table10[[#This Row],[7=6*15%]]</f>
        <v>901.19570730681812</v>
      </c>
      <c r="M31" s="464">
        <f t="shared" ref="M31:M38" si="2">I31-E31+K31</f>
        <v>875.77798912499986</v>
      </c>
      <c r="N31" s="187"/>
    </row>
    <row r="32" spans="1:14" ht="15.75" x14ac:dyDescent="0.25">
      <c r="A32" s="159" t="s">
        <v>89</v>
      </c>
      <c r="B32" s="48" t="s">
        <v>232</v>
      </c>
      <c r="C32" s="5" t="s">
        <v>411</v>
      </c>
      <c r="D32" s="429">
        <f>NHANCONG!G32</f>
        <v>1351.1301375</v>
      </c>
      <c r="E32" s="429">
        <f>THIETBI!I35</f>
        <v>368.37272727272722</v>
      </c>
      <c r="F32" s="429">
        <v>0</v>
      </c>
      <c r="G32" s="429">
        <v>0</v>
      </c>
      <c r="H32" s="429">
        <v>0</v>
      </c>
      <c r="I32" s="429">
        <f>SUM(Table10[[#This Row],[1]:[5]])</f>
        <v>1719.5028647727272</v>
      </c>
      <c r="J32" s="429">
        <f>Table10[[#This Row],[6=1+...+5]]*15%</f>
        <v>257.92542971590905</v>
      </c>
      <c r="K32" s="429">
        <f>(Table10[[#This Row],[6=1+...+5]]-Table10[[#This Row],[2]])*15%</f>
        <v>202.66952062499999</v>
      </c>
      <c r="L32" s="429">
        <f>Table10[[#This Row],[6=1+...+5]]+Table10[[#This Row],[7=6*15%]]</f>
        <v>1977.4282944886363</v>
      </c>
      <c r="M32" s="464">
        <f t="shared" si="2"/>
        <v>1553.799658125</v>
      </c>
      <c r="N32" s="187"/>
    </row>
    <row r="33" spans="1:14" ht="15.75" x14ac:dyDescent="0.25">
      <c r="A33" s="159" t="s">
        <v>89</v>
      </c>
      <c r="B33" s="48" t="s">
        <v>225</v>
      </c>
      <c r="C33" s="5" t="s">
        <v>412</v>
      </c>
      <c r="D33" s="429">
        <f>NHANCONG!G33</f>
        <v>13928.9234175</v>
      </c>
      <c r="E33" s="429">
        <f>THIETBI!I36</f>
        <v>22.102363636363638</v>
      </c>
      <c r="F33" s="429">
        <v>0</v>
      </c>
      <c r="G33" s="429">
        <v>0</v>
      </c>
      <c r="H33" s="429">
        <v>0</v>
      </c>
      <c r="I33" s="429">
        <f>SUM(Table10[[#This Row],[1]:[5]])</f>
        <v>13951.025781136364</v>
      </c>
      <c r="J33" s="429">
        <f>Table10[[#This Row],[6=1+...+5]]*15%</f>
        <v>2092.6538671704548</v>
      </c>
      <c r="K33" s="429">
        <f>(Table10[[#This Row],[6=1+...+5]]-Table10[[#This Row],[2]])*15%</f>
        <v>2089.338512625</v>
      </c>
      <c r="L33" s="429">
        <f>Table10[[#This Row],[6=1+...+5]]+Table10[[#This Row],[7=6*15%]]</f>
        <v>16043.679648306819</v>
      </c>
      <c r="M33" s="464">
        <f t="shared" si="2"/>
        <v>16018.261930125</v>
      </c>
      <c r="N33" s="187"/>
    </row>
    <row r="34" spans="1:14" ht="15.75" x14ac:dyDescent="0.25">
      <c r="A34" s="159" t="s">
        <v>89</v>
      </c>
      <c r="B34" s="48" t="s">
        <v>233</v>
      </c>
      <c r="C34" s="5" t="s">
        <v>412</v>
      </c>
      <c r="D34" s="429">
        <f>NHANCONG!G34</f>
        <v>16459.221675000001</v>
      </c>
      <c r="E34" s="429">
        <f>THIETBI!I37</f>
        <v>368.37272727272722</v>
      </c>
      <c r="F34" s="429">
        <v>0</v>
      </c>
      <c r="G34" s="429">
        <v>0</v>
      </c>
      <c r="H34" s="429">
        <v>0</v>
      </c>
      <c r="I34" s="429">
        <f>SUM(Table10[[#This Row],[1]:[5]])</f>
        <v>16827.594402272727</v>
      </c>
      <c r="J34" s="429">
        <f>Table10[[#This Row],[6=1+...+5]]*15%</f>
        <v>2524.1391603409088</v>
      </c>
      <c r="K34" s="429">
        <f>(Table10[[#This Row],[6=1+...+5]]-Table10[[#This Row],[2]])*15%</f>
        <v>2468.8832512499998</v>
      </c>
      <c r="L34" s="429">
        <f>Table10[[#This Row],[6=1+...+5]]+Table10[[#This Row],[7=6*15%]]</f>
        <v>19351.733562613637</v>
      </c>
      <c r="M34" s="464">
        <f t="shared" si="2"/>
        <v>18928.104926250002</v>
      </c>
      <c r="N34" s="187"/>
    </row>
    <row r="35" spans="1:14" ht="31.5" x14ac:dyDescent="0.25">
      <c r="A35" s="159" t="s">
        <v>89</v>
      </c>
      <c r="B35" s="48" t="s">
        <v>226</v>
      </c>
      <c r="C35" s="5" t="s">
        <v>411</v>
      </c>
      <c r="D35" s="429">
        <f>NHANCONG!G35</f>
        <v>221.09402249999999</v>
      </c>
      <c r="E35" s="429">
        <f>THIETBI!I38</f>
        <v>22.102363636363638</v>
      </c>
      <c r="F35" s="429">
        <v>0</v>
      </c>
      <c r="G35" s="429">
        <v>0</v>
      </c>
      <c r="H35" s="429">
        <v>0</v>
      </c>
      <c r="I35" s="429">
        <f>SUM(Table10[[#This Row],[1]:[5]])</f>
        <v>243.19638613636363</v>
      </c>
      <c r="J35" s="429">
        <f>Table10[[#This Row],[6=1+...+5]]*15%</f>
        <v>36.479457920454543</v>
      </c>
      <c r="K35" s="429">
        <f>(Table10[[#This Row],[6=1+...+5]]-Table10[[#This Row],[2]])*15%</f>
        <v>33.164103374999996</v>
      </c>
      <c r="L35" s="429">
        <f>Table10[[#This Row],[6=1+...+5]]+Table10[[#This Row],[7=6*15%]]</f>
        <v>279.67584405681816</v>
      </c>
      <c r="M35" s="464">
        <f t="shared" si="2"/>
        <v>254.25812587499999</v>
      </c>
      <c r="N35" s="187"/>
    </row>
    <row r="36" spans="1:14" ht="31.5" x14ac:dyDescent="0.25">
      <c r="A36" s="159" t="s">
        <v>89</v>
      </c>
      <c r="B36" s="48" t="s">
        <v>234</v>
      </c>
      <c r="C36" s="5" t="s">
        <v>411</v>
      </c>
      <c r="D36" s="429">
        <f>NHANCONG!G36</f>
        <v>368.49003749999997</v>
      </c>
      <c r="E36" s="429">
        <f>THIETBI!I39</f>
        <v>95.776909090909072</v>
      </c>
      <c r="F36" s="429">
        <v>0</v>
      </c>
      <c r="G36" s="429">
        <v>0</v>
      </c>
      <c r="H36" s="429">
        <v>0</v>
      </c>
      <c r="I36" s="429">
        <f>SUM(Table10[[#This Row],[1]:[5]])</f>
        <v>464.26694659090901</v>
      </c>
      <c r="J36" s="429">
        <f>Table10[[#This Row],[6=1+...+5]]*15%</f>
        <v>69.640041988636355</v>
      </c>
      <c r="K36" s="429">
        <f>(Table10[[#This Row],[6=1+...+5]]-Table10[[#This Row],[2]])*15%</f>
        <v>55.273505624999991</v>
      </c>
      <c r="L36" s="429">
        <f>Table10[[#This Row],[6=1+...+5]]+Table10[[#This Row],[7=6*15%]]</f>
        <v>533.90698857954533</v>
      </c>
      <c r="M36" s="464">
        <f t="shared" si="2"/>
        <v>423.76354312499996</v>
      </c>
      <c r="N36" s="187"/>
    </row>
    <row r="37" spans="1:14" ht="32.25" customHeight="1" x14ac:dyDescent="0.25">
      <c r="A37" s="159" t="s">
        <v>89</v>
      </c>
      <c r="B37" s="48" t="s">
        <v>227</v>
      </c>
      <c r="C37" s="5" t="s">
        <v>412</v>
      </c>
      <c r="D37" s="429">
        <f>NHANCONG!G37</f>
        <v>3512.9383574999997</v>
      </c>
      <c r="E37" s="429">
        <f>THIETBI!I40</f>
        <v>22.102363636363638</v>
      </c>
      <c r="F37" s="429">
        <v>0</v>
      </c>
      <c r="G37" s="429">
        <v>0</v>
      </c>
      <c r="H37" s="429">
        <v>0</v>
      </c>
      <c r="I37" s="429">
        <f>SUM(Table10[[#This Row],[1]:[5]])</f>
        <v>3535.0407211363636</v>
      </c>
      <c r="J37" s="429">
        <f>Table10[[#This Row],[6=1+...+5]]*15%</f>
        <v>530.25610817045447</v>
      </c>
      <c r="K37" s="429">
        <f>(Table10[[#This Row],[6=1+...+5]]-Table10[[#This Row],[2]])*15%</f>
        <v>526.94075362499996</v>
      </c>
      <c r="L37" s="429">
        <f>Table10[[#This Row],[6=1+...+5]]+Table10[[#This Row],[7=6*15%]]</f>
        <v>4065.2968293068179</v>
      </c>
      <c r="M37" s="464">
        <f t="shared" si="2"/>
        <v>4039.8791111249998</v>
      </c>
      <c r="N37" s="187"/>
    </row>
    <row r="38" spans="1:14" ht="32.25" customHeight="1" x14ac:dyDescent="0.25">
      <c r="A38" s="159" t="s">
        <v>89</v>
      </c>
      <c r="B38" s="48" t="s">
        <v>227</v>
      </c>
      <c r="C38" s="5" t="s">
        <v>412</v>
      </c>
      <c r="D38" s="429">
        <f>NHANCONG!G38</f>
        <v>4176.2204250000004</v>
      </c>
      <c r="E38" s="429">
        <f>THIETBI!I41</f>
        <v>95.776909090909072</v>
      </c>
      <c r="F38" s="429">
        <v>0</v>
      </c>
      <c r="G38" s="429">
        <v>0</v>
      </c>
      <c r="H38" s="429">
        <v>0</v>
      </c>
      <c r="I38" s="429">
        <f>SUM(Table10[[#This Row],[1]:[5]])</f>
        <v>4271.9973340909091</v>
      </c>
      <c r="J38" s="429">
        <f>Table10[[#This Row],[6=1+...+5]]*15%</f>
        <v>640.7996001136363</v>
      </c>
      <c r="K38" s="429">
        <f>(Table10[[#This Row],[6=1+...+5]]-Table10[[#This Row],[2]])*15%</f>
        <v>626.43306375000009</v>
      </c>
      <c r="L38" s="429">
        <f>Table10[[#This Row],[6=1+...+5]]+Table10[[#This Row],[7=6*15%]]</f>
        <v>4912.7969342045453</v>
      </c>
      <c r="M38" s="464">
        <f t="shared" si="2"/>
        <v>4802.6534887500002</v>
      </c>
      <c r="N38" s="187"/>
    </row>
    <row r="39" spans="1:14" ht="38.25" x14ac:dyDescent="0.25">
      <c r="A39" s="79" t="s">
        <v>117</v>
      </c>
      <c r="B39" s="37" t="s">
        <v>18</v>
      </c>
      <c r="C39" s="5"/>
      <c r="D39" s="429"/>
      <c r="E39" s="429"/>
      <c r="F39" s="429"/>
      <c r="G39" s="429"/>
      <c r="H39" s="429"/>
      <c r="I39" s="429"/>
      <c r="J39" s="429"/>
      <c r="K39" s="429"/>
      <c r="L39" s="429"/>
      <c r="M39" s="464"/>
      <c r="N39" s="187" t="s">
        <v>52</v>
      </c>
    </row>
    <row r="40" spans="1:14" ht="15.75" x14ac:dyDescent="0.25">
      <c r="A40" s="232" t="s">
        <v>228</v>
      </c>
      <c r="B40" s="278" t="s">
        <v>413</v>
      </c>
      <c r="C40" s="5"/>
      <c r="D40" s="429"/>
      <c r="E40" s="429"/>
      <c r="F40" s="429"/>
      <c r="G40" s="429"/>
      <c r="H40" s="429"/>
      <c r="I40" s="429"/>
      <c r="J40" s="429"/>
      <c r="K40" s="429"/>
      <c r="L40" s="465"/>
      <c r="M40" s="466"/>
      <c r="N40" s="224"/>
    </row>
    <row r="41" spans="1:14" ht="15.75" x14ac:dyDescent="0.25">
      <c r="A41" s="159" t="s">
        <v>89</v>
      </c>
      <c r="B41" s="48" t="s">
        <v>224</v>
      </c>
      <c r="C41" s="5" t="s">
        <v>411</v>
      </c>
      <c r="D41" s="429">
        <f>NHANCONG!G41</f>
        <v>468.64373999999998</v>
      </c>
      <c r="E41" s="429">
        <f>THIETBI!I44</f>
        <v>13.405090909090911</v>
      </c>
      <c r="F41" s="429">
        <v>0</v>
      </c>
      <c r="G41" s="429">
        <v>0</v>
      </c>
      <c r="H41" s="429">
        <v>0</v>
      </c>
      <c r="I41" s="429">
        <f>SUM(Table10[[#This Row],[1]:[5]])</f>
        <v>482.0488309090909</v>
      </c>
      <c r="J41" s="429">
        <f>Table10[[#This Row],[6=1+...+5]]*15%</f>
        <v>72.307324636363631</v>
      </c>
      <c r="K41" s="429">
        <f>(Table10[[#This Row],[6=1+...+5]]-Table10[[#This Row],[2]])*15%</f>
        <v>70.296560999999997</v>
      </c>
      <c r="L41" s="429">
        <f>Table10[[#This Row],[6=1+...+5]]+Table10[[#This Row],[7=6*15%]]</f>
        <v>554.3561555454545</v>
      </c>
      <c r="M41" s="464">
        <f t="shared" ref="M41:M48" si="3">I41-E41+K41</f>
        <v>538.94030099999998</v>
      </c>
      <c r="N41" s="187"/>
    </row>
    <row r="42" spans="1:14" ht="15.75" x14ac:dyDescent="0.25">
      <c r="A42" s="159" t="s">
        <v>89</v>
      </c>
      <c r="B42" s="48" t="s">
        <v>232</v>
      </c>
      <c r="C42" s="5" t="s">
        <v>411</v>
      </c>
      <c r="D42" s="429">
        <f>NHANCONG!G42</f>
        <v>831.46469999999999</v>
      </c>
      <c r="E42" s="429">
        <f>THIETBI!I45</f>
        <v>223.41818181818181</v>
      </c>
      <c r="F42" s="429">
        <v>0</v>
      </c>
      <c r="G42" s="429">
        <v>0</v>
      </c>
      <c r="H42" s="429">
        <v>0</v>
      </c>
      <c r="I42" s="429">
        <f>SUM(Table10[[#This Row],[1]:[5]])</f>
        <v>1054.8828818181819</v>
      </c>
      <c r="J42" s="429">
        <f>Table10[[#This Row],[6=1+...+5]]*15%</f>
        <v>158.23243227272727</v>
      </c>
      <c r="K42" s="429">
        <f>(Table10[[#This Row],[6=1+...+5]]-Table10[[#This Row],[2]])*15%</f>
        <v>124.719705</v>
      </c>
      <c r="L42" s="429">
        <f>Table10[[#This Row],[6=1+...+5]]+Table10[[#This Row],[7=6*15%]]</f>
        <v>1213.1153140909091</v>
      </c>
      <c r="M42" s="464">
        <f t="shared" si="3"/>
        <v>956.18440500000008</v>
      </c>
      <c r="N42" s="187"/>
    </row>
    <row r="43" spans="1:14" ht="15.75" x14ac:dyDescent="0.25">
      <c r="A43" s="159" t="s">
        <v>89</v>
      </c>
      <c r="B43" s="48" t="s">
        <v>225</v>
      </c>
      <c r="C43" s="5" t="s">
        <v>412</v>
      </c>
      <c r="D43" s="429">
        <f>NHANCONG!G43</f>
        <v>8571.6451799999995</v>
      </c>
      <c r="E43" s="429">
        <f>THIETBI!I46</f>
        <v>13.405090909090911</v>
      </c>
      <c r="F43" s="429">
        <v>0</v>
      </c>
      <c r="G43" s="429">
        <v>0</v>
      </c>
      <c r="H43" s="429">
        <v>0</v>
      </c>
      <c r="I43" s="429">
        <f>SUM(Table10[[#This Row],[1]:[5]])</f>
        <v>8585.0502709090906</v>
      </c>
      <c r="J43" s="429">
        <f>Table10[[#This Row],[6=1+...+5]]*15%</f>
        <v>1287.7575406363635</v>
      </c>
      <c r="K43" s="429">
        <f>(Table10[[#This Row],[6=1+...+5]]-Table10[[#This Row],[2]])*15%</f>
        <v>1285.7467769999998</v>
      </c>
      <c r="L43" s="429">
        <f>Table10[[#This Row],[6=1+...+5]]+Table10[[#This Row],[7=6*15%]]</f>
        <v>9872.8078115454537</v>
      </c>
      <c r="M43" s="464">
        <f t="shared" si="3"/>
        <v>9857.3919569999998</v>
      </c>
      <c r="N43" s="187"/>
    </row>
    <row r="44" spans="1:14" ht="15.75" x14ac:dyDescent="0.25">
      <c r="A44" s="159" t="s">
        <v>89</v>
      </c>
      <c r="B44" s="48" t="s">
        <v>233</v>
      </c>
      <c r="C44" s="5" t="s">
        <v>412</v>
      </c>
      <c r="D44" s="429">
        <f>NHANCONG!G44</f>
        <v>10128.7518</v>
      </c>
      <c r="E44" s="429">
        <f>THIETBI!I47</f>
        <v>223.41818181818181</v>
      </c>
      <c r="F44" s="429">
        <v>0</v>
      </c>
      <c r="G44" s="429">
        <v>0</v>
      </c>
      <c r="H44" s="429">
        <v>0</v>
      </c>
      <c r="I44" s="429">
        <f>SUM(Table10[[#This Row],[1]:[5]])</f>
        <v>10352.169981818182</v>
      </c>
      <c r="J44" s="429">
        <f>Table10[[#This Row],[6=1+...+5]]*15%</f>
        <v>1552.8254972727273</v>
      </c>
      <c r="K44" s="429">
        <f>(Table10[[#This Row],[6=1+...+5]]-Table10[[#This Row],[2]])*15%</f>
        <v>1519.31277</v>
      </c>
      <c r="L44" s="429">
        <f>Table10[[#This Row],[6=1+...+5]]+Table10[[#This Row],[7=6*15%]]</f>
        <v>11904.995479090911</v>
      </c>
      <c r="M44" s="464">
        <f t="shared" si="3"/>
        <v>11648.06457</v>
      </c>
      <c r="N44" s="187"/>
    </row>
    <row r="45" spans="1:14" ht="31.5" x14ac:dyDescent="0.25">
      <c r="A45" s="159" t="s">
        <v>89</v>
      </c>
      <c r="B45" s="48" t="s">
        <v>226</v>
      </c>
      <c r="C45" s="5" t="s">
        <v>411</v>
      </c>
      <c r="D45" s="429">
        <f>NHANCONG!G45</f>
        <v>136.05786000000001</v>
      </c>
      <c r="E45" s="429">
        <f>THIETBI!I48</f>
        <v>13.405090909090911</v>
      </c>
      <c r="F45" s="429">
        <v>0</v>
      </c>
      <c r="G45" s="429">
        <v>0</v>
      </c>
      <c r="H45" s="429">
        <v>0</v>
      </c>
      <c r="I45" s="429">
        <f>SUM(Table10[[#This Row],[1]:[5]])</f>
        <v>149.46295090909092</v>
      </c>
      <c r="J45" s="429">
        <f>Table10[[#This Row],[6=1+...+5]]*15%</f>
        <v>22.419442636363637</v>
      </c>
      <c r="K45" s="429">
        <f>(Table10[[#This Row],[6=1+...+5]]-Table10[[#This Row],[2]])*15%</f>
        <v>20.408678999999999</v>
      </c>
      <c r="L45" s="429">
        <f>Table10[[#This Row],[6=1+...+5]]+Table10[[#This Row],[7=6*15%]]</f>
        <v>171.88239354545456</v>
      </c>
      <c r="M45" s="464">
        <f t="shared" si="3"/>
        <v>156.46653900000001</v>
      </c>
      <c r="N45" s="187"/>
    </row>
    <row r="46" spans="1:14" ht="31.5" x14ac:dyDescent="0.25">
      <c r="A46" s="159" t="s">
        <v>89</v>
      </c>
      <c r="B46" s="48" t="s">
        <v>234</v>
      </c>
      <c r="C46" s="5" t="s">
        <v>411</v>
      </c>
      <c r="D46" s="429">
        <f>NHANCONG!G46</f>
        <v>226.76309999999998</v>
      </c>
      <c r="E46" s="429">
        <f>THIETBI!I49</f>
        <v>58.088727272727262</v>
      </c>
      <c r="F46" s="429">
        <v>0</v>
      </c>
      <c r="G46" s="429">
        <v>0</v>
      </c>
      <c r="H46" s="429">
        <v>0</v>
      </c>
      <c r="I46" s="429">
        <f>SUM(Table10[[#This Row],[1]:[5]])</f>
        <v>284.85182727272723</v>
      </c>
      <c r="J46" s="429">
        <f>Table10[[#This Row],[6=1+...+5]]*15%</f>
        <v>42.727774090909087</v>
      </c>
      <c r="K46" s="429">
        <f>(Table10[[#This Row],[6=1+...+5]]-Table10[[#This Row],[2]])*15%</f>
        <v>34.014464999999994</v>
      </c>
      <c r="L46" s="429">
        <f>Table10[[#This Row],[6=1+...+5]]+Table10[[#This Row],[7=6*15%]]</f>
        <v>327.5796013636363</v>
      </c>
      <c r="M46" s="464">
        <f t="shared" si="3"/>
        <v>260.77756499999998</v>
      </c>
      <c r="N46" s="187"/>
    </row>
    <row r="47" spans="1:14" ht="15.75" x14ac:dyDescent="0.25">
      <c r="A47" s="159" t="s">
        <v>89</v>
      </c>
      <c r="B47" s="48" t="s">
        <v>227</v>
      </c>
      <c r="C47" s="5" t="s">
        <v>412</v>
      </c>
      <c r="D47" s="429">
        <f>NHANCONG!G47</f>
        <v>2161.8082199999999</v>
      </c>
      <c r="E47" s="429">
        <f>THIETBI!I50</f>
        <v>13.405090909090911</v>
      </c>
      <c r="F47" s="429">
        <v>0</v>
      </c>
      <c r="G47" s="429">
        <v>0</v>
      </c>
      <c r="H47" s="429">
        <v>0</v>
      </c>
      <c r="I47" s="429">
        <f>SUM(Table10[[#This Row],[1]:[5]])</f>
        <v>2175.213310909091</v>
      </c>
      <c r="J47" s="429">
        <f>Table10[[#This Row],[6=1+...+5]]*15%</f>
        <v>326.28199663636366</v>
      </c>
      <c r="K47" s="429">
        <f>(Table10[[#This Row],[6=1+...+5]]-Table10[[#This Row],[2]])*15%</f>
        <v>324.271233</v>
      </c>
      <c r="L47" s="429">
        <f>Table10[[#This Row],[6=1+...+5]]+Table10[[#This Row],[7=6*15%]]</f>
        <v>2501.4953075454546</v>
      </c>
      <c r="M47" s="464">
        <f t="shared" si="3"/>
        <v>2486.0794529999998</v>
      </c>
      <c r="N47" s="187"/>
    </row>
    <row r="48" spans="1:14" ht="15.75" x14ac:dyDescent="0.25">
      <c r="A48" s="159" t="s">
        <v>89</v>
      </c>
      <c r="B48" s="48" t="s">
        <v>227</v>
      </c>
      <c r="C48" s="5" t="s">
        <v>412</v>
      </c>
      <c r="D48" s="429">
        <f>NHANCONG!G48</f>
        <v>2569.9818</v>
      </c>
      <c r="E48" s="429">
        <f>THIETBI!I51</f>
        <v>58.088727272727262</v>
      </c>
      <c r="F48" s="429">
        <v>0</v>
      </c>
      <c r="G48" s="429">
        <v>0</v>
      </c>
      <c r="H48" s="429">
        <v>0</v>
      </c>
      <c r="I48" s="429">
        <f>SUM(Table10[[#This Row],[1]:[5]])</f>
        <v>2628.0705272727273</v>
      </c>
      <c r="J48" s="429">
        <f>Table10[[#This Row],[6=1+...+5]]*15%</f>
        <v>394.21057909090911</v>
      </c>
      <c r="K48" s="429">
        <f>(Table10[[#This Row],[6=1+...+5]]-Table10[[#This Row],[2]])*15%</f>
        <v>385.49727000000001</v>
      </c>
      <c r="L48" s="429">
        <f>Table10[[#This Row],[6=1+...+5]]+Table10[[#This Row],[7=6*15%]]</f>
        <v>3022.2811063636364</v>
      </c>
      <c r="M48" s="464">
        <f t="shared" si="3"/>
        <v>2955.4790699999999</v>
      </c>
      <c r="N48" s="187"/>
    </row>
    <row r="49" spans="1:14" ht="15.75" x14ac:dyDescent="0.25">
      <c r="A49" s="232" t="s">
        <v>229</v>
      </c>
      <c r="B49" s="278" t="s">
        <v>414</v>
      </c>
      <c r="C49" s="5"/>
      <c r="D49" s="429"/>
      <c r="E49" s="429"/>
      <c r="F49" s="429"/>
      <c r="G49" s="429"/>
      <c r="H49" s="429"/>
      <c r="I49" s="429"/>
      <c r="J49" s="429"/>
      <c r="K49" s="429"/>
      <c r="L49" s="465"/>
      <c r="M49" s="466"/>
      <c r="N49" s="224"/>
    </row>
    <row r="50" spans="1:14" ht="15.75" x14ac:dyDescent="0.25">
      <c r="A50" s="159" t="s">
        <v>89</v>
      </c>
      <c r="B50" s="48" t="s">
        <v>224</v>
      </c>
      <c r="C50" s="5" t="s">
        <v>411</v>
      </c>
      <c r="D50" s="429">
        <f>NHANCONG!G50</f>
        <v>585.80467499999997</v>
      </c>
      <c r="E50" s="429">
        <f>THIETBI!I53</f>
        <v>16.854545454545455</v>
      </c>
      <c r="F50" s="429">
        <v>0</v>
      </c>
      <c r="G50" s="429">
        <v>0</v>
      </c>
      <c r="H50" s="429">
        <v>0</v>
      </c>
      <c r="I50" s="429">
        <f>SUM(Table10[[#This Row],[1]:[5]])</f>
        <v>602.65922045454545</v>
      </c>
      <c r="J50" s="429">
        <f>Table10[[#This Row],[6=1+...+5]]*15%</f>
        <v>90.398883068181817</v>
      </c>
      <c r="K50" s="429">
        <f>(Table10[[#This Row],[6=1+...+5]]-Table10[[#This Row],[2]])*15%</f>
        <v>87.870701249999996</v>
      </c>
      <c r="L50" s="429">
        <f>Table10[[#This Row],[6=1+...+5]]+Table10[[#This Row],[7=6*15%]]</f>
        <v>693.05810352272727</v>
      </c>
      <c r="M50" s="464">
        <f t="shared" ref="M50:M57" si="4">I50-E50+K50</f>
        <v>673.67537625</v>
      </c>
      <c r="N50" s="187"/>
    </row>
    <row r="51" spans="1:14" ht="15.75" x14ac:dyDescent="0.25">
      <c r="A51" s="159" t="s">
        <v>89</v>
      </c>
      <c r="B51" s="48" t="s">
        <v>232</v>
      </c>
      <c r="C51" s="5" t="s">
        <v>411</v>
      </c>
      <c r="D51" s="429">
        <f>NHANCONG!G51</f>
        <v>1039.3308749999999</v>
      </c>
      <c r="E51" s="429">
        <f>THIETBI!I54</f>
        <v>280.90909090909088</v>
      </c>
      <c r="F51" s="429">
        <v>0</v>
      </c>
      <c r="G51" s="429">
        <v>0</v>
      </c>
      <c r="H51" s="429">
        <v>0</v>
      </c>
      <c r="I51" s="429">
        <f>SUM(Table10[[#This Row],[1]:[5]])</f>
        <v>1320.2399659090906</v>
      </c>
      <c r="J51" s="429">
        <f>Table10[[#This Row],[6=1+...+5]]*15%</f>
        <v>198.0359948863636</v>
      </c>
      <c r="K51" s="429">
        <f>(Table10[[#This Row],[6=1+...+5]]-Table10[[#This Row],[2]])*15%</f>
        <v>155.89963124999994</v>
      </c>
      <c r="L51" s="429">
        <f>Table10[[#This Row],[6=1+...+5]]+Table10[[#This Row],[7=6*15%]]</f>
        <v>1518.2759607954542</v>
      </c>
      <c r="M51" s="464">
        <f t="shared" si="4"/>
        <v>1195.2305062499995</v>
      </c>
      <c r="N51" s="187"/>
    </row>
    <row r="52" spans="1:14" ht="15.75" x14ac:dyDescent="0.25">
      <c r="A52" s="159" t="s">
        <v>89</v>
      </c>
      <c r="B52" s="48" t="s">
        <v>225</v>
      </c>
      <c r="C52" s="5" t="s">
        <v>412</v>
      </c>
      <c r="D52" s="429">
        <f>NHANCONG!G52</f>
        <v>10714.556474999999</v>
      </c>
      <c r="E52" s="429">
        <f>THIETBI!I55</f>
        <v>16.854545454545455</v>
      </c>
      <c r="F52" s="429">
        <v>0</v>
      </c>
      <c r="G52" s="429">
        <v>0</v>
      </c>
      <c r="H52" s="429">
        <v>0</v>
      </c>
      <c r="I52" s="429">
        <f>SUM(Table10[[#This Row],[1]:[5]])</f>
        <v>10731.411020454545</v>
      </c>
      <c r="J52" s="429">
        <f>Table10[[#This Row],[6=1+...+5]]*15%</f>
        <v>1609.7116530681817</v>
      </c>
      <c r="K52" s="429">
        <f>(Table10[[#This Row],[6=1+...+5]]-Table10[[#This Row],[2]])*15%</f>
        <v>1607.1834712499999</v>
      </c>
      <c r="L52" s="429">
        <f>Table10[[#This Row],[6=1+...+5]]+Table10[[#This Row],[7=6*15%]]</f>
        <v>12341.122673522726</v>
      </c>
      <c r="M52" s="464">
        <f t="shared" si="4"/>
        <v>12321.73994625</v>
      </c>
      <c r="N52" s="187"/>
    </row>
    <row r="53" spans="1:14" ht="15.75" x14ac:dyDescent="0.25">
      <c r="A53" s="159" t="s">
        <v>89</v>
      </c>
      <c r="B53" s="48" t="s">
        <v>233</v>
      </c>
      <c r="C53" s="5" t="s">
        <v>412</v>
      </c>
      <c r="D53" s="429">
        <f>NHANCONG!G53</f>
        <v>12660.939750000001</v>
      </c>
      <c r="E53" s="429">
        <f>THIETBI!I56</f>
        <v>280.90909090909088</v>
      </c>
      <c r="F53" s="429">
        <v>0</v>
      </c>
      <c r="G53" s="429">
        <v>0</v>
      </c>
      <c r="H53" s="429">
        <v>0</v>
      </c>
      <c r="I53" s="429">
        <f>SUM(Table10[[#This Row],[1]:[5]])</f>
        <v>12941.848840909091</v>
      </c>
      <c r="J53" s="429">
        <f>Table10[[#This Row],[6=1+...+5]]*15%</f>
        <v>1941.2773261363636</v>
      </c>
      <c r="K53" s="429">
        <f>(Table10[[#This Row],[6=1+...+5]]-Table10[[#This Row],[2]])*15%</f>
        <v>1899.1409625000001</v>
      </c>
      <c r="L53" s="429">
        <f>Table10[[#This Row],[6=1+...+5]]+Table10[[#This Row],[7=6*15%]]</f>
        <v>14883.126167045455</v>
      </c>
      <c r="M53" s="464">
        <f t="shared" si="4"/>
        <v>14560.080712500001</v>
      </c>
      <c r="N53" s="187"/>
    </row>
    <row r="54" spans="1:14" ht="31.5" x14ac:dyDescent="0.25">
      <c r="A54" s="159" t="s">
        <v>89</v>
      </c>
      <c r="B54" s="48" t="s">
        <v>226</v>
      </c>
      <c r="C54" s="5" t="s">
        <v>411</v>
      </c>
      <c r="D54" s="429">
        <f>NHANCONG!G54</f>
        <v>170.07232500000001</v>
      </c>
      <c r="E54" s="429">
        <f>THIETBI!I57</f>
        <v>16.854545454545455</v>
      </c>
      <c r="F54" s="429">
        <v>0</v>
      </c>
      <c r="G54" s="429">
        <v>0</v>
      </c>
      <c r="H54" s="429">
        <v>0</v>
      </c>
      <c r="I54" s="429">
        <f>SUM(Table10[[#This Row],[1]:[5]])</f>
        <v>186.92687045454545</v>
      </c>
      <c r="J54" s="429">
        <f>Table10[[#This Row],[6=1+...+5]]*15%</f>
        <v>28.039030568181818</v>
      </c>
      <c r="K54" s="429">
        <f>(Table10[[#This Row],[6=1+...+5]]-Table10[[#This Row],[2]])*15%</f>
        <v>25.510848750000001</v>
      </c>
      <c r="L54" s="429">
        <f>Table10[[#This Row],[6=1+...+5]]+Table10[[#This Row],[7=6*15%]]</f>
        <v>214.96590102272728</v>
      </c>
      <c r="M54" s="464">
        <f t="shared" si="4"/>
        <v>195.58317375000001</v>
      </c>
      <c r="N54" s="187"/>
    </row>
    <row r="55" spans="1:14" ht="31.5" x14ac:dyDescent="0.25">
      <c r="A55" s="159" t="s">
        <v>89</v>
      </c>
      <c r="B55" s="48" t="s">
        <v>234</v>
      </c>
      <c r="C55" s="5" t="s">
        <v>411</v>
      </c>
      <c r="D55" s="429">
        <f>NHANCONG!G55</f>
        <v>283.45387499999998</v>
      </c>
      <c r="E55" s="429">
        <f>THIETBI!I58</f>
        <v>73.036363636363618</v>
      </c>
      <c r="F55" s="429">
        <v>0</v>
      </c>
      <c r="G55" s="429">
        <v>0</v>
      </c>
      <c r="H55" s="429">
        <v>0</v>
      </c>
      <c r="I55" s="429">
        <f>SUM(Table10[[#This Row],[1]:[5]])</f>
        <v>356.49023863636359</v>
      </c>
      <c r="J55" s="429">
        <f>Table10[[#This Row],[6=1+...+5]]*15%</f>
        <v>53.473535795454538</v>
      </c>
      <c r="K55" s="429">
        <f>(Table10[[#This Row],[6=1+...+5]]-Table10[[#This Row],[2]])*15%</f>
        <v>42.518081249999994</v>
      </c>
      <c r="L55" s="429">
        <f>Table10[[#This Row],[6=1+...+5]]+Table10[[#This Row],[7=6*15%]]</f>
        <v>409.96377443181814</v>
      </c>
      <c r="M55" s="464">
        <f t="shared" si="4"/>
        <v>325.97195624999995</v>
      </c>
      <c r="N55" s="187"/>
    </row>
    <row r="56" spans="1:14" ht="15.75" x14ac:dyDescent="0.25">
      <c r="A56" s="159" t="s">
        <v>89</v>
      </c>
      <c r="B56" s="48" t="s">
        <v>227</v>
      </c>
      <c r="C56" s="5" t="s">
        <v>412</v>
      </c>
      <c r="D56" s="429">
        <f>NHANCONG!G56</f>
        <v>2702.2602750000001</v>
      </c>
      <c r="E56" s="429">
        <f>THIETBI!I59</f>
        <v>16.854545454545455</v>
      </c>
      <c r="F56" s="429">
        <v>0</v>
      </c>
      <c r="G56" s="429">
        <v>0</v>
      </c>
      <c r="H56" s="429">
        <v>0</v>
      </c>
      <c r="I56" s="429">
        <f>SUM(Table10[[#This Row],[1]:[5]])</f>
        <v>2719.1148204545457</v>
      </c>
      <c r="J56" s="429">
        <f>Table10[[#This Row],[6=1+...+5]]*15%</f>
        <v>407.86722306818183</v>
      </c>
      <c r="K56" s="429">
        <f>(Table10[[#This Row],[6=1+...+5]]-Table10[[#This Row],[2]])*15%</f>
        <v>405.33904124999998</v>
      </c>
      <c r="L56" s="429">
        <f>Table10[[#This Row],[6=1+...+5]]+Table10[[#This Row],[7=6*15%]]</f>
        <v>3126.9820435227275</v>
      </c>
      <c r="M56" s="464">
        <f t="shared" si="4"/>
        <v>3107.5993162499999</v>
      </c>
      <c r="N56" s="187"/>
    </row>
    <row r="57" spans="1:14" ht="15.75" x14ac:dyDescent="0.25">
      <c r="A57" s="159" t="s">
        <v>89</v>
      </c>
      <c r="B57" s="48" t="s">
        <v>227</v>
      </c>
      <c r="C57" s="5" t="s">
        <v>412</v>
      </c>
      <c r="D57" s="429">
        <f>NHANCONG!G57</f>
        <v>3212.4772500000004</v>
      </c>
      <c r="E57" s="429">
        <f>THIETBI!I60</f>
        <v>73.036363636363618</v>
      </c>
      <c r="F57" s="429">
        <v>0</v>
      </c>
      <c r="G57" s="429">
        <v>0</v>
      </c>
      <c r="H57" s="429">
        <v>0</v>
      </c>
      <c r="I57" s="429">
        <f>SUM(Table10[[#This Row],[1]:[5]])</f>
        <v>3285.513613636364</v>
      </c>
      <c r="J57" s="429">
        <f>Table10[[#This Row],[6=1+...+5]]*15%</f>
        <v>492.82704204545456</v>
      </c>
      <c r="K57" s="429">
        <f>(Table10[[#This Row],[6=1+...+5]]-Table10[[#This Row],[2]])*15%</f>
        <v>481.87158750000003</v>
      </c>
      <c r="L57" s="429">
        <f>Table10[[#This Row],[6=1+...+5]]+Table10[[#This Row],[7=6*15%]]</f>
        <v>3778.3406556818186</v>
      </c>
      <c r="M57" s="464">
        <f t="shared" si="4"/>
        <v>3694.3488375000006</v>
      </c>
      <c r="N57" s="187"/>
    </row>
    <row r="58" spans="1:14" ht="15.75" x14ac:dyDescent="0.25">
      <c r="A58" s="232" t="s">
        <v>230</v>
      </c>
      <c r="B58" s="278" t="s">
        <v>415</v>
      </c>
      <c r="C58" s="5"/>
      <c r="D58" s="429"/>
      <c r="E58" s="429"/>
      <c r="F58" s="429"/>
      <c r="G58" s="429"/>
      <c r="H58" s="429"/>
      <c r="I58" s="429"/>
      <c r="J58" s="429"/>
      <c r="K58" s="429"/>
      <c r="L58" s="465"/>
      <c r="M58" s="466"/>
      <c r="N58" s="224"/>
    </row>
    <row r="59" spans="1:14" ht="15.75" x14ac:dyDescent="0.25">
      <c r="A59" s="159" t="s">
        <v>89</v>
      </c>
      <c r="B59" s="48" t="s">
        <v>224</v>
      </c>
      <c r="C59" s="5" t="s">
        <v>411</v>
      </c>
      <c r="D59" s="429">
        <f>NHANCONG!G59</f>
        <v>761.54607749999991</v>
      </c>
      <c r="E59" s="429">
        <f>THIETBI!I62</f>
        <v>22.102363636363638</v>
      </c>
      <c r="F59" s="429">
        <v>0</v>
      </c>
      <c r="G59" s="429">
        <v>0</v>
      </c>
      <c r="H59" s="429">
        <v>0</v>
      </c>
      <c r="I59" s="429">
        <f>SUM(Table10[[#This Row],[1]:[5]])</f>
        <v>783.64844113636354</v>
      </c>
      <c r="J59" s="429">
        <f>Table10[[#This Row],[6=1+...+5]]*15%</f>
        <v>117.54726617045452</v>
      </c>
      <c r="K59" s="429">
        <f>(Table10[[#This Row],[6=1+...+5]]-Table10[[#This Row],[2]])*15%</f>
        <v>114.23191162499998</v>
      </c>
      <c r="L59" s="429">
        <f>Table10[[#This Row],[6=1+...+5]]+Table10[[#This Row],[7=6*15%]]</f>
        <v>901.19570730681812</v>
      </c>
      <c r="M59" s="464">
        <f t="shared" ref="M59:M66" si="5">I59-E59+K59</f>
        <v>875.77798912499986</v>
      </c>
      <c r="N59" s="187"/>
    </row>
    <row r="60" spans="1:14" ht="15.75" x14ac:dyDescent="0.25">
      <c r="A60" s="159" t="s">
        <v>89</v>
      </c>
      <c r="B60" s="48" t="s">
        <v>232</v>
      </c>
      <c r="C60" s="5" t="s">
        <v>411</v>
      </c>
      <c r="D60" s="429">
        <f>NHANCONG!G60</f>
        <v>1351.1301375</v>
      </c>
      <c r="E60" s="429">
        <f>THIETBI!I63</f>
        <v>368.37272727272722</v>
      </c>
      <c r="F60" s="429">
        <v>0</v>
      </c>
      <c r="G60" s="429">
        <v>0</v>
      </c>
      <c r="H60" s="429">
        <v>0</v>
      </c>
      <c r="I60" s="429">
        <f>SUM(Table10[[#This Row],[1]:[5]])</f>
        <v>1719.5028647727272</v>
      </c>
      <c r="J60" s="429">
        <f>Table10[[#This Row],[6=1+...+5]]*15%</f>
        <v>257.92542971590905</v>
      </c>
      <c r="K60" s="429">
        <f>(Table10[[#This Row],[6=1+...+5]]-Table10[[#This Row],[2]])*15%</f>
        <v>202.66952062499999</v>
      </c>
      <c r="L60" s="429">
        <f>Table10[[#This Row],[6=1+...+5]]+Table10[[#This Row],[7=6*15%]]</f>
        <v>1977.4282944886363</v>
      </c>
      <c r="M60" s="464">
        <f t="shared" si="5"/>
        <v>1553.799658125</v>
      </c>
      <c r="N60" s="187"/>
    </row>
    <row r="61" spans="1:14" ht="15.75" x14ac:dyDescent="0.25">
      <c r="A61" s="159" t="s">
        <v>89</v>
      </c>
      <c r="B61" s="48" t="s">
        <v>225</v>
      </c>
      <c r="C61" s="5" t="s">
        <v>412</v>
      </c>
      <c r="D61" s="429">
        <f>NHANCONG!G61</f>
        <v>13928.9234175</v>
      </c>
      <c r="E61" s="429">
        <f>THIETBI!I64</f>
        <v>22.102363636363638</v>
      </c>
      <c r="F61" s="429">
        <v>0</v>
      </c>
      <c r="G61" s="429">
        <v>0</v>
      </c>
      <c r="H61" s="429">
        <v>0</v>
      </c>
      <c r="I61" s="429">
        <f>SUM(Table10[[#This Row],[1]:[5]])</f>
        <v>13951.025781136364</v>
      </c>
      <c r="J61" s="429">
        <f>Table10[[#This Row],[6=1+...+5]]*15%</f>
        <v>2092.6538671704548</v>
      </c>
      <c r="K61" s="429">
        <f>(Table10[[#This Row],[6=1+...+5]]-Table10[[#This Row],[2]])*15%</f>
        <v>2089.338512625</v>
      </c>
      <c r="L61" s="429">
        <f>Table10[[#This Row],[6=1+...+5]]+Table10[[#This Row],[7=6*15%]]</f>
        <v>16043.679648306819</v>
      </c>
      <c r="M61" s="464">
        <f t="shared" si="5"/>
        <v>16018.261930125</v>
      </c>
      <c r="N61" s="187"/>
    </row>
    <row r="62" spans="1:14" ht="15.75" x14ac:dyDescent="0.25">
      <c r="A62" s="159" t="s">
        <v>89</v>
      </c>
      <c r="B62" s="48" t="s">
        <v>233</v>
      </c>
      <c r="C62" s="5" t="s">
        <v>412</v>
      </c>
      <c r="D62" s="429">
        <f>NHANCONG!G62</f>
        <v>16459.221675000001</v>
      </c>
      <c r="E62" s="429">
        <f>THIETBI!I65</f>
        <v>368.37272727272722</v>
      </c>
      <c r="F62" s="429">
        <v>0</v>
      </c>
      <c r="G62" s="429">
        <v>0</v>
      </c>
      <c r="H62" s="429">
        <v>0</v>
      </c>
      <c r="I62" s="429">
        <f>SUM(Table10[[#This Row],[1]:[5]])</f>
        <v>16827.594402272727</v>
      </c>
      <c r="J62" s="429">
        <f>Table10[[#This Row],[6=1+...+5]]*15%</f>
        <v>2524.1391603409088</v>
      </c>
      <c r="K62" s="429">
        <f>(Table10[[#This Row],[6=1+...+5]]-Table10[[#This Row],[2]])*15%</f>
        <v>2468.8832512499998</v>
      </c>
      <c r="L62" s="429">
        <f>Table10[[#This Row],[6=1+...+5]]+Table10[[#This Row],[7=6*15%]]</f>
        <v>19351.733562613637</v>
      </c>
      <c r="M62" s="464">
        <f t="shared" si="5"/>
        <v>18928.104926250002</v>
      </c>
      <c r="N62" s="187"/>
    </row>
    <row r="63" spans="1:14" ht="31.5" x14ac:dyDescent="0.25">
      <c r="A63" s="159" t="s">
        <v>89</v>
      </c>
      <c r="B63" s="48" t="s">
        <v>226</v>
      </c>
      <c r="C63" s="5" t="s">
        <v>411</v>
      </c>
      <c r="D63" s="429">
        <f>NHANCONG!G63</f>
        <v>221.09402249999999</v>
      </c>
      <c r="E63" s="429">
        <f>THIETBI!I66</f>
        <v>22.102363636363638</v>
      </c>
      <c r="F63" s="429">
        <v>0</v>
      </c>
      <c r="G63" s="429">
        <v>0</v>
      </c>
      <c r="H63" s="429">
        <v>0</v>
      </c>
      <c r="I63" s="429">
        <f>SUM(Table10[[#This Row],[1]:[5]])</f>
        <v>243.19638613636363</v>
      </c>
      <c r="J63" s="429">
        <f>Table10[[#This Row],[6=1+...+5]]*15%</f>
        <v>36.479457920454543</v>
      </c>
      <c r="K63" s="429">
        <f>(Table10[[#This Row],[6=1+...+5]]-Table10[[#This Row],[2]])*15%</f>
        <v>33.164103374999996</v>
      </c>
      <c r="L63" s="429">
        <f>Table10[[#This Row],[6=1+...+5]]+Table10[[#This Row],[7=6*15%]]</f>
        <v>279.67584405681816</v>
      </c>
      <c r="M63" s="464">
        <f t="shared" si="5"/>
        <v>254.25812587499999</v>
      </c>
      <c r="N63" s="187"/>
    </row>
    <row r="64" spans="1:14" ht="31.5" x14ac:dyDescent="0.25">
      <c r="A64" s="159" t="s">
        <v>89</v>
      </c>
      <c r="B64" s="48" t="s">
        <v>234</v>
      </c>
      <c r="C64" s="5" t="s">
        <v>411</v>
      </c>
      <c r="D64" s="429">
        <f>NHANCONG!G64</f>
        <v>368.49003749999997</v>
      </c>
      <c r="E64" s="429">
        <f>THIETBI!I67</f>
        <v>95.776909090909072</v>
      </c>
      <c r="F64" s="429">
        <v>0</v>
      </c>
      <c r="G64" s="429">
        <v>0</v>
      </c>
      <c r="H64" s="429">
        <v>0</v>
      </c>
      <c r="I64" s="429">
        <f>SUM(Table10[[#This Row],[1]:[5]])</f>
        <v>464.26694659090901</v>
      </c>
      <c r="J64" s="429">
        <f>Table10[[#This Row],[6=1+...+5]]*15%</f>
        <v>69.640041988636355</v>
      </c>
      <c r="K64" s="429">
        <f>(Table10[[#This Row],[6=1+...+5]]-Table10[[#This Row],[2]])*15%</f>
        <v>55.273505624999991</v>
      </c>
      <c r="L64" s="429">
        <f>Table10[[#This Row],[6=1+...+5]]+Table10[[#This Row],[7=6*15%]]</f>
        <v>533.90698857954533</v>
      </c>
      <c r="M64" s="464">
        <f t="shared" si="5"/>
        <v>423.76354312499996</v>
      </c>
      <c r="N64" s="187"/>
    </row>
    <row r="65" spans="1:14" ht="15.75" x14ac:dyDescent="0.25">
      <c r="A65" s="159" t="s">
        <v>89</v>
      </c>
      <c r="B65" s="48" t="s">
        <v>227</v>
      </c>
      <c r="C65" s="5" t="s">
        <v>412</v>
      </c>
      <c r="D65" s="429">
        <f>NHANCONG!G65</f>
        <v>3512.9383574999997</v>
      </c>
      <c r="E65" s="429">
        <f>THIETBI!I68</f>
        <v>22.102363636363638</v>
      </c>
      <c r="F65" s="429">
        <v>0</v>
      </c>
      <c r="G65" s="429">
        <v>0</v>
      </c>
      <c r="H65" s="429">
        <v>0</v>
      </c>
      <c r="I65" s="429">
        <f>SUM(Table10[[#This Row],[1]:[5]])</f>
        <v>3535.0407211363636</v>
      </c>
      <c r="J65" s="429">
        <f>Table10[[#This Row],[6=1+...+5]]*15%</f>
        <v>530.25610817045447</v>
      </c>
      <c r="K65" s="429">
        <f>(Table10[[#This Row],[6=1+...+5]]-Table10[[#This Row],[2]])*15%</f>
        <v>526.94075362499996</v>
      </c>
      <c r="L65" s="429">
        <f>Table10[[#This Row],[6=1+...+5]]+Table10[[#This Row],[7=6*15%]]</f>
        <v>4065.2968293068179</v>
      </c>
      <c r="M65" s="464">
        <f t="shared" si="5"/>
        <v>4039.8791111249998</v>
      </c>
      <c r="N65" s="187"/>
    </row>
    <row r="66" spans="1:14" ht="15.75" x14ac:dyDescent="0.25">
      <c r="A66" s="159" t="s">
        <v>89</v>
      </c>
      <c r="B66" s="48" t="s">
        <v>227</v>
      </c>
      <c r="C66" s="5" t="s">
        <v>412</v>
      </c>
      <c r="D66" s="429">
        <f>NHANCONG!G66</f>
        <v>4176.2204250000004</v>
      </c>
      <c r="E66" s="429">
        <f>THIETBI!I69</f>
        <v>95.776909090909072</v>
      </c>
      <c r="F66" s="429">
        <v>0</v>
      </c>
      <c r="G66" s="429">
        <v>0</v>
      </c>
      <c r="H66" s="429">
        <v>0</v>
      </c>
      <c r="I66" s="429">
        <f>SUM(Table10[[#This Row],[1]:[5]])</f>
        <v>4271.9973340909091</v>
      </c>
      <c r="J66" s="429">
        <f>Table10[[#This Row],[6=1+...+5]]*15%</f>
        <v>640.7996001136363</v>
      </c>
      <c r="K66" s="429">
        <f>(Table10[[#This Row],[6=1+...+5]]-Table10[[#This Row],[2]])*15%</f>
        <v>626.43306375000009</v>
      </c>
      <c r="L66" s="429">
        <f>Table10[[#This Row],[6=1+...+5]]+Table10[[#This Row],[7=6*15%]]</f>
        <v>4912.7969342045453</v>
      </c>
      <c r="M66" s="464">
        <f t="shared" si="5"/>
        <v>4802.6534887500002</v>
      </c>
      <c r="N66" s="187"/>
    </row>
    <row r="67" spans="1:14" ht="31.5" x14ac:dyDescent="0.25">
      <c r="A67" s="79" t="s">
        <v>118</v>
      </c>
      <c r="B67" s="37" t="s">
        <v>19</v>
      </c>
      <c r="C67" s="5"/>
      <c r="D67" s="429"/>
      <c r="E67" s="429"/>
      <c r="F67" s="429"/>
      <c r="G67" s="429"/>
      <c r="H67" s="429"/>
      <c r="I67" s="429"/>
      <c r="J67" s="429"/>
      <c r="K67" s="429"/>
      <c r="L67" s="429"/>
      <c r="M67" s="464"/>
      <c r="N67" s="187" t="s">
        <v>54</v>
      </c>
    </row>
    <row r="68" spans="1:14" ht="15.75" x14ac:dyDescent="0.25">
      <c r="A68" s="78" t="s">
        <v>119</v>
      </c>
      <c r="B68" s="55" t="s">
        <v>20</v>
      </c>
      <c r="C68" s="5"/>
      <c r="D68" s="462"/>
      <c r="E68" s="462"/>
      <c r="F68" s="462"/>
      <c r="G68" s="462"/>
      <c r="H68" s="462"/>
      <c r="I68" s="462"/>
      <c r="J68" s="462"/>
      <c r="K68" s="462"/>
      <c r="L68" s="462"/>
      <c r="M68" s="463"/>
      <c r="N68" s="187"/>
    </row>
    <row r="69" spans="1:14" ht="15.75" x14ac:dyDescent="0.25">
      <c r="A69" s="5"/>
      <c r="B69" s="203" t="s">
        <v>492</v>
      </c>
      <c r="C69" s="5"/>
      <c r="D69" s="429"/>
      <c r="E69" s="429"/>
      <c r="F69" s="429"/>
      <c r="G69" s="429"/>
      <c r="H69" s="429"/>
      <c r="I69" s="429"/>
      <c r="J69" s="429"/>
      <c r="K69" s="429"/>
      <c r="L69" s="465"/>
      <c r="M69" s="465"/>
      <c r="N69" s="34" t="s">
        <v>495</v>
      </c>
    </row>
    <row r="70" spans="1:14" s="10" customFormat="1" ht="15.75" x14ac:dyDescent="0.2">
      <c r="A70" s="79" t="s">
        <v>120</v>
      </c>
      <c r="B70" s="37" t="s">
        <v>21</v>
      </c>
      <c r="C70" s="5"/>
      <c r="D70" s="429"/>
      <c r="E70" s="429"/>
      <c r="F70" s="429"/>
      <c r="G70" s="429"/>
      <c r="H70" s="429"/>
      <c r="I70" s="429"/>
      <c r="J70" s="429"/>
      <c r="K70" s="429"/>
      <c r="L70" s="429"/>
      <c r="M70" s="464"/>
      <c r="N70" s="187" t="s">
        <v>54</v>
      </c>
    </row>
    <row r="71" spans="1:14" ht="15.75" x14ac:dyDescent="0.25">
      <c r="A71" s="79" t="s">
        <v>121</v>
      </c>
      <c r="B71" s="37" t="s">
        <v>22</v>
      </c>
      <c r="C71" s="5" t="s">
        <v>565</v>
      </c>
      <c r="D71" s="429">
        <f>NHANCONG!G71</f>
        <v>414742</v>
      </c>
      <c r="E71" s="429">
        <f>THIETBI!I74</f>
        <v>1267.2727272727273</v>
      </c>
      <c r="F71" s="429">
        <f>DUNGCU!H23</f>
        <v>2868.2574935897442</v>
      </c>
      <c r="G71" s="429">
        <f>VATLIEU!F24</f>
        <v>5356.18</v>
      </c>
      <c r="H71" s="429">
        <f>DIENNANG!F22</f>
        <v>11523.746304000002</v>
      </c>
      <c r="I71" s="429">
        <f>SUM(Table10[[#This Row],[1]:[5]])</f>
        <v>435757.4565248625</v>
      </c>
      <c r="J71" s="429">
        <f>Table10[[#This Row],[6=1+...+5]]*15%</f>
        <v>65363.618478729375</v>
      </c>
      <c r="K71" s="429">
        <f>(Table10[[#This Row],[6=1+...+5]]-Table10[[#This Row],[2]])*15%</f>
        <v>65173.527569638463</v>
      </c>
      <c r="L71" s="429">
        <f>Table10[[#This Row],[6=1+...+5]]+Table10[[#This Row],[7=6*15%]]</f>
        <v>501121.07500359189</v>
      </c>
      <c r="M71" s="464">
        <f t="shared" ref="M71:M73" si="6">I71-E71+K71</f>
        <v>499663.71136722824</v>
      </c>
      <c r="N71" s="187"/>
    </row>
    <row r="72" spans="1:14" ht="15.75" x14ac:dyDescent="0.25">
      <c r="A72" s="79" t="s">
        <v>122</v>
      </c>
      <c r="B72" s="37" t="s">
        <v>23</v>
      </c>
      <c r="C72" s="5" t="s">
        <v>586</v>
      </c>
      <c r="D72" s="429">
        <f>NHANCONG!G72</f>
        <v>21232.5</v>
      </c>
      <c r="E72" s="429">
        <f>THIETBI!I78</f>
        <v>15.84090909090909</v>
      </c>
      <c r="F72" s="429">
        <f>DUNGCU!H31</f>
        <v>35.716636538461536</v>
      </c>
      <c r="G72" s="429">
        <f>VATLIEU!F29</f>
        <v>1674.2719999999999</v>
      </c>
      <c r="H72" s="429">
        <f>DIENNANG!F31</f>
        <v>143.72729280000001</v>
      </c>
      <c r="I72" s="429">
        <f>SUM(Table10[[#This Row],[1]:[5]])</f>
        <v>23102.056838429369</v>
      </c>
      <c r="J72" s="429">
        <f>Table10[[#This Row],[6=1+...+5]]*15%</f>
        <v>3465.3085257644052</v>
      </c>
      <c r="K72" s="429">
        <f>(Table10[[#This Row],[6=1+...+5]]-Table10[[#This Row],[2]])*15%</f>
        <v>3462.9323894007689</v>
      </c>
      <c r="L72" s="429">
        <f>Table10[[#This Row],[6=1+...+5]]+Table10[[#This Row],[7=6*15%]]</f>
        <v>26567.365364193774</v>
      </c>
      <c r="M72" s="464">
        <f t="shared" si="6"/>
        <v>26549.14831873923</v>
      </c>
      <c r="N72" s="187"/>
    </row>
    <row r="73" spans="1:14" ht="15.75" x14ac:dyDescent="0.25">
      <c r="A73" s="79" t="s">
        <v>123</v>
      </c>
      <c r="B73" s="37" t="s">
        <v>24</v>
      </c>
      <c r="C73" s="5" t="s">
        <v>565</v>
      </c>
      <c r="D73" s="429">
        <f>NHANCONG!G73</f>
        <v>23695.559999999998</v>
      </c>
      <c r="E73" s="429">
        <f>THIETBI!I82</f>
        <v>0</v>
      </c>
      <c r="F73" s="429">
        <f>DUNGCU!H38</f>
        <v>472.00929692307693</v>
      </c>
      <c r="G73" s="429">
        <f>VATLIEU!F33</f>
        <v>0</v>
      </c>
      <c r="H73" s="429">
        <f>DIENNANG!F39</f>
        <v>695.56596479999996</v>
      </c>
      <c r="I73" s="429">
        <f>SUM(Table10[[#This Row],[1]:[5]])</f>
        <v>24863.135261723073</v>
      </c>
      <c r="J73" s="429">
        <f>Table10[[#This Row],[6=1+...+5]]*15%</f>
        <v>3729.470289258461</v>
      </c>
      <c r="K73" s="429">
        <f>(Table10[[#This Row],[6=1+...+5]]-Table10[[#This Row],[2]])*15%</f>
        <v>3729.470289258461</v>
      </c>
      <c r="L73" s="429">
        <f>Table10[[#This Row],[6=1+...+5]]+Table10[[#This Row],[7=6*15%]]</f>
        <v>28592.605550981534</v>
      </c>
      <c r="M73" s="464">
        <f t="shared" si="6"/>
        <v>28592.605550981534</v>
      </c>
      <c r="N73" s="187"/>
    </row>
    <row r="74" spans="1:14" ht="15.75" x14ac:dyDescent="0.25">
      <c r="A74" s="5"/>
      <c r="B74" s="203" t="s">
        <v>493</v>
      </c>
      <c r="C74" s="5"/>
      <c r="D74" s="429"/>
      <c r="E74" s="429"/>
      <c r="F74" s="429"/>
      <c r="G74" s="429"/>
      <c r="H74" s="429"/>
      <c r="I74" s="429"/>
      <c r="J74" s="429"/>
      <c r="K74" s="429"/>
      <c r="L74" s="465"/>
      <c r="M74" s="465"/>
      <c r="N74" s="34" t="s">
        <v>496</v>
      </c>
    </row>
    <row r="75" spans="1:14" ht="15.75" x14ac:dyDescent="0.25">
      <c r="A75" s="79" t="s">
        <v>120</v>
      </c>
      <c r="B75" s="37" t="s">
        <v>21</v>
      </c>
      <c r="C75" s="5"/>
      <c r="D75" s="429"/>
      <c r="E75" s="429"/>
      <c r="F75" s="429"/>
      <c r="G75" s="429"/>
      <c r="H75" s="429"/>
      <c r="I75" s="429"/>
      <c r="J75" s="429"/>
      <c r="K75" s="429"/>
      <c r="L75" s="429"/>
      <c r="M75" s="464"/>
      <c r="N75" s="187" t="s">
        <v>54</v>
      </c>
    </row>
    <row r="76" spans="1:14" ht="15.75" x14ac:dyDescent="0.25">
      <c r="A76" s="79" t="s">
        <v>121</v>
      </c>
      <c r="B76" s="37" t="s">
        <v>22</v>
      </c>
      <c r="C76" s="5" t="s">
        <v>565</v>
      </c>
      <c r="D76" s="429">
        <f>NHANCONG!G76</f>
        <v>248845.19999999998</v>
      </c>
      <c r="E76" s="429">
        <f>THIETBI!I85</f>
        <v>760.36363636363637</v>
      </c>
      <c r="F76" s="429">
        <f>DUNGCU!H47</f>
        <v>1720.9544961538465</v>
      </c>
      <c r="G76" s="429">
        <f>VATLIEU!F36</f>
        <v>3213.7080000000001</v>
      </c>
      <c r="H76" s="429">
        <f t="shared" ref="H76:H78" si="7">H71</f>
        <v>11523.746304000002</v>
      </c>
      <c r="I76" s="429">
        <f>SUM(Table10[[#This Row],[1]:[5]])</f>
        <v>266063.97243651748</v>
      </c>
      <c r="J76" s="429">
        <f>Table10[[#This Row],[6=1+...+5]]*15%</f>
        <v>39909.595865477619</v>
      </c>
      <c r="K76" s="429">
        <f>(Table10[[#This Row],[6=1+...+5]]-Table10[[#This Row],[2]])*15%</f>
        <v>39795.541320023076</v>
      </c>
      <c r="L76" s="429">
        <f>Table10[[#This Row],[6=1+...+5]]+Table10[[#This Row],[7=6*15%]]</f>
        <v>305973.56830199511</v>
      </c>
      <c r="M76" s="464">
        <f t="shared" ref="M76:M78" si="8">I76-E76+K76</f>
        <v>305099.1501201769</v>
      </c>
      <c r="N76" s="187"/>
    </row>
    <row r="77" spans="1:14" ht="15.75" x14ac:dyDescent="0.25">
      <c r="A77" s="79" t="s">
        <v>122</v>
      </c>
      <c r="B77" s="37" t="s">
        <v>23</v>
      </c>
      <c r="C77" s="5" t="s">
        <v>586</v>
      </c>
      <c r="D77" s="429">
        <f>NHANCONG!G77</f>
        <v>12739.5</v>
      </c>
      <c r="E77" s="429">
        <f>THIETBI!I86</f>
        <v>9.504545454545454</v>
      </c>
      <c r="F77" s="429">
        <f>DUNGCU!H48</f>
        <v>21.42998192307692</v>
      </c>
      <c r="G77" s="429">
        <f>VATLIEU!F37</f>
        <v>1004.5631999999999</v>
      </c>
      <c r="H77" s="429">
        <f t="shared" si="7"/>
        <v>143.72729280000001</v>
      </c>
      <c r="I77" s="429">
        <f>SUM(Table10[[#This Row],[1]:[5]])</f>
        <v>13918.725020177622</v>
      </c>
      <c r="J77" s="429">
        <f>Table10[[#This Row],[6=1+...+5]]*15%</f>
        <v>2087.8087530266434</v>
      </c>
      <c r="K77" s="429">
        <f>(Table10[[#This Row],[6=1+...+5]]-Table10[[#This Row],[2]])*15%</f>
        <v>2086.3830712084614</v>
      </c>
      <c r="L77" s="429">
        <f>Table10[[#This Row],[6=1+...+5]]+Table10[[#This Row],[7=6*15%]]</f>
        <v>16006.533773204266</v>
      </c>
      <c r="M77" s="464">
        <f t="shared" si="8"/>
        <v>15995.603545931539</v>
      </c>
      <c r="N77" s="187"/>
    </row>
    <row r="78" spans="1:14" ht="15.75" x14ac:dyDescent="0.25">
      <c r="A78" s="79" t="s">
        <v>123</v>
      </c>
      <c r="B78" s="37" t="s">
        <v>24</v>
      </c>
      <c r="C78" s="5" t="s">
        <v>565</v>
      </c>
      <c r="D78" s="429">
        <f>NHANCONG!G78</f>
        <v>14217.335999999998</v>
      </c>
      <c r="E78" s="429">
        <f>THIETBI!I87</f>
        <v>0</v>
      </c>
      <c r="F78" s="429">
        <f>DUNGCU!H49</f>
        <v>283.20557815384615</v>
      </c>
      <c r="G78" s="429">
        <f>VATLIEU!F38</f>
        <v>0</v>
      </c>
      <c r="H78" s="429">
        <f t="shared" si="7"/>
        <v>695.56596479999996</v>
      </c>
      <c r="I78" s="429">
        <f>SUM(Table10[[#This Row],[1]:[5]])</f>
        <v>15196.107542953843</v>
      </c>
      <c r="J78" s="429">
        <f>Table10[[#This Row],[6=1+...+5]]*15%</f>
        <v>2279.4161314430762</v>
      </c>
      <c r="K78" s="429">
        <f>(Table10[[#This Row],[6=1+...+5]]-Table10[[#This Row],[2]])*15%</f>
        <v>2279.4161314430762</v>
      </c>
      <c r="L78" s="429">
        <f>Table10[[#This Row],[6=1+...+5]]+Table10[[#This Row],[7=6*15%]]</f>
        <v>17475.523674396918</v>
      </c>
      <c r="M78" s="464">
        <f t="shared" si="8"/>
        <v>17475.523674396918</v>
      </c>
      <c r="N78" s="187"/>
    </row>
    <row r="79" spans="1:14" ht="15.75" x14ac:dyDescent="0.25">
      <c r="A79" s="5"/>
      <c r="B79" s="203" t="s">
        <v>494</v>
      </c>
      <c r="C79" s="5"/>
      <c r="D79" s="429"/>
      <c r="E79" s="429"/>
      <c r="F79" s="429"/>
      <c r="G79" s="429"/>
      <c r="H79" s="429"/>
      <c r="I79" s="429"/>
      <c r="J79" s="429"/>
      <c r="K79" s="429"/>
      <c r="L79" s="465"/>
      <c r="M79" s="465"/>
      <c r="N79" s="34" t="s">
        <v>497</v>
      </c>
    </row>
    <row r="80" spans="1:14" ht="15.75" x14ac:dyDescent="0.25">
      <c r="A80" s="79" t="s">
        <v>120</v>
      </c>
      <c r="B80" s="37" t="s">
        <v>21</v>
      </c>
      <c r="C80" s="5"/>
      <c r="D80" s="429"/>
      <c r="E80" s="429"/>
      <c r="F80" s="429"/>
      <c r="G80" s="429"/>
      <c r="H80" s="429"/>
      <c r="I80" s="429"/>
      <c r="J80" s="429"/>
      <c r="K80" s="429"/>
      <c r="L80" s="429"/>
      <c r="M80" s="464"/>
      <c r="N80" s="187" t="s">
        <v>54</v>
      </c>
    </row>
    <row r="81" spans="1:14" ht="15.75" x14ac:dyDescent="0.25">
      <c r="A81" s="79" t="s">
        <v>121</v>
      </c>
      <c r="B81" s="37" t="s">
        <v>22</v>
      </c>
      <c r="C81" s="5" t="s">
        <v>565</v>
      </c>
      <c r="D81" s="429">
        <f>NHANCONG!G81</f>
        <v>82948.400000000009</v>
      </c>
      <c r="E81" s="429">
        <f>THIETBI!I90</f>
        <v>253.45454545454547</v>
      </c>
      <c r="F81" s="429">
        <f>DUNGCU!H52</f>
        <v>573.65149871794881</v>
      </c>
      <c r="G81" s="429">
        <f>VATLIEU!F41</f>
        <v>1071.2360000000001</v>
      </c>
      <c r="H81" s="429">
        <f t="shared" ref="H81:H83" si="9">H71</f>
        <v>11523.746304000002</v>
      </c>
      <c r="I81" s="429">
        <f>SUM(Table10[[#This Row],[1]:[5]])</f>
        <v>96370.488348172512</v>
      </c>
      <c r="J81" s="429">
        <f>Table10[[#This Row],[6=1+...+5]]*15%</f>
        <v>14455.573252225877</v>
      </c>
      <c r="K81" s="429">
        <f>(Table10[[#This Row],[6=1+...+5]]-Table10[[#This Row],[2]])*15%</f>
        <v>14417.555070407694</v>
      </c>
      <c r="L81" s="429">
        <f>Table10[[#This Row],[6=1+...+5]]+Table10[[#This Row],[7=6*15%]]</f>
        <v>110826.06160039839</v>
      </c>
      <c r="M81" s="464">
        <f t="shared" ref="M81:M83" si="10">I81-E81+K81</f>
        <v>110534.58887312566</v>
      </c>
      <c r="N81" s="187"/>
    </row>
    <row r="82" spans="1:14" ht="15.75" x14ac:dyDescent="0.25">
      <c r="A82" s="79" t="s">
        <v>122</v>
      </c>
      <c r="B82" s="37" t="s">
        <v>23</v>
      </c>
      <c r="C82" s="5" t="s">
        <v>586</v>
      </c>
      <c r="D82" s="429">
        <f>NHANCONG!G82</f>
        <v>4246.5</v>
      </c>
      <c r="E82" s="429">
        <f>THIETBI!I91</f>
        <v>3.168181818181818</v>
      </c>
      <c r="F82" s="429">
        <f>DUNGCU!H53</f>
        <v>7.1433273076923074</v>
      </c>
      <c r="G82" s="429">
        <f>VATLIEU!F42</f>
        <v>334.8544</v>
      </c>
      <c r="H82" s="429">
        <f t="shared" si="9"/>
        <v>143.72729280000001</v>
      </c>
      <c r="I82" s="429">
        <f>SUM(Table10[[#This Row],[1]:[5]])</f>
        <v>4735.3932019258746</v>
      </c>
      <c r="J82" s="429">
        <f>Table10[[#This Row],[6=1+...+5]]*15%</f>
        <v>710.30898028888112</v>
      </c>
      <c r="K82" s="429">
        <f>(Table10[[#This Row],[6=1+...+5]]-Table10[[#This Row],[2]])*15%</f>
        <v>709.83375301615399</v>
      </c>
      <c r="L82" s="429">
        <f>Table10[[#This Row],[6=1+...+5]]+Table10[[#This Row],[7=6*15%]]</f>
        <v>5445.7021822147553</v>
      </c>
      <c r="M82" s="464">
        <f t="shared" si="10"/>
        <v>5442.0587731238475</v>
      </c>
      <c r="N82" s="187"/>
    </row>
    <row r="83" spans="1:14" s="10" customFormat="1" ht="15.75" x14ac:dyDescent="0.2">
      <c r="A83" s="79" t="s">
        <v>123</v>
      </c>
      <c r="B83" s="37" t="s">
        <v>24</v>
      </c>
      <c r="C83" s="5" t="s">
        <v>565</v>
      </c>
      <c r="D83" s="429">
        <f>NHANCONG!G83</f>
        <v>4739.1120000000001</v>
      </c>
      <c r="E83" s="429">
        <f>THIETBI!I92</f>
        <v>0</v>
      </c>
      <c r="F83" s="429">
        <f>DUNGCU!H54</f>
        <v>94.401859384615392</v>
      </c>
      <c r="G83" s="429">
        <f>VATLIEU!F43</f>
        <v>0</v>
      </c>
      <c r="H83" s="429">
        <f t="shared" si="9"/>
        <v>695.56596479999996</v>
      </c>
      <c r="I83" s="429">
        <f>SUM(Table10[[#This Row],[1]:[5]])</f>
        <v>5529.079824184616</v>
      </c>
      <c r="J83" s="429">
        <f>Table10[[#This Row],[6=1+...+5]]*15%</f>
        <v>829.36197362769235</v>
      </c>
      <c r="K83" s="429">
        <f>(Table10[[#This Row],[6=1+...+5]]-Table10[[#This Row],[2]])*15%</f>
        <v>829.36197362769235</v>
      </c>
      <c r="L83" s="429">
        <f>Table10[[#This Row],[6=1+...+5]]+Table10[[#This Row],[7=6*15%]]</f>
        <v>6358.4417978123083</v>
      </c>
      <c r="M83" s="464">
        <f t="shared" si="10"/>
        <v>6358.4417978123083</v>
      </c>
      <c r="N83" s="187"/>
    </row>
    <row r="84" spans="1:14" ht="31.5" x14ac:dyDescent="0.25">
      <c r="A84" s="78" t="s">
        <v>26</v>
      </c>
      <c r="B84" s="55" t="s">
        <v>27</v>
      </c>
      <c r="C84" s="5"/>
      <c r="D84" s="462"/>
      <c r="E84" s="462"/>
      <c r="F84" s="462"/>
      <c r="G84" s="462"/>
      <c r="H84" s="462"/>
      <c r="I84" s="462"/>
      <c r="J84" s="462"/>
      <c r="K84" s="462"/>
      <c r="L84" s="462"/>
      <c r="M84" s="463"/>
      <c r="N84" s="187"/>
    </row>
    <row r="85" spans="1:14" ht="15.75" x14ac:dyDescent="0.25">
      <c r="A85" s="78" t="s">
        <v>124</v>
      </c>
      <c r="B85" s="55" t="s">
        <v>28</v>
      </c>
      <c r="C85" s="5"/>
      <c r="D85" s="462"/>
      <c r="E85" s="462"/>
      <c r="F85" s="462"/>
      <c r="G85" s="462"/>
      <c r="H85" s="462"/>
      <c r="I85" s="462"/>
      <c r="J85" s="462"/>
      <c r="K85" s="462"/>
      <c r="L85" s="462"/>
      <c r="M85" s="463"/>
      <c r="N85" s="187"/>
    </row>
    <row r="86" spans="1:14" ht="15.75" x14ac:dyDescent="0.25">
      <c r="A86" s="79"/>
      <c r="B86" s="203" t="s">
        <v>498</v>
      </c>
      <c r="C86" s="5"/>
      <c r="D86" s="429"/>
      <c r="E86" s="429"/>
      <c r="F86" s="429"/>
      <c r="G86" s="429"/>
      <c r="H86" s="429"/>
      <c r="I86" s="429"/>
      <c r="J86" s="429"/>
      <c r="K86" s="429"/>
      <c r="L86" s="465"/>
      <c r="M86" s="465"/>
      <c r="N86" s="224"/>
    </row>
    <row r="87" spans="1:14" ht="31.5" x14ac:dyDescent="0.25">
      <c r="A87" s="79" t="s">
        <v>125</v>
      </c>
      <c r="B87" s="37" t="s">
        <v>29</v>
      </c>
      <c r="C87" s="5" t="s">
        <v>565</v>
      </c>
      <c r="D87" s="429">
        <f>NHANCONG!G87</f>
        <v>76437</v>
      </c>
      <c r="E87" s="429">
        <f>THIETBI!I96</f>
        <v>357.93181818181819</v>
      </c>
      <c r="F87" s="429">
        <f>DUNGCU!H58</f>
        <v>986.34088205128205</v>
      </c>
      <c r="G87" s="429">
        <f>VATLIEU!F47</f>
        <v>469.52719999999994</v>
      </c>
      <c r="H87" s="429">
        <f>DIENNANG!F47</f>
        <v>3866.0021567999997</v>
      </c>
      <c r="I87" s="429">
        <f>SUM(Table10[[#This Row],[1]:[5]])</f>
        <v>82116.802057033099</v>
      </c>
      <c r="J87" s="429">
        <f>Table10[[#This Row],[6=1+...+5]]*15%</f>
        <v>12317.520308554964</v>
      </c>
      <c r="K87" s="429">
        <f>(Table10[[#This Row],[6=1+...+5]]-Table10[[#This Row],[2]])*15%</f>
        <v>12263.83053582769</v>
      </c>
      <c r="L87" s="429">
        <f>Table10[[#This Row],[6=1+...+5]]+Table10[[#This Row],[7=6*15%]]</f>
        <v>94434.322365588057</v>
      </c>
      <c r="M87" s="464">
        <f t="shared" ref="M87:M99" si="11">I87-E87+K87</f>
        <v>94022.70077467896</v>
      </c>
      <c r="N87" s="187"/>
    </row>
    <row r="88" spans="1:14" ht="31.5" x14ac:dyDescent="0.25">
      <c r="A88" s="79" t="s">
        <v>126</v>
      </c>
      <c r="B88" s="37" t="s">
        <v>30</v>
      </c>
      <c r="C88" s="5" t="s">
        <v>565</v>
      </c>
      <c r="D88" s="429">
        <f>NHANCONG!G88</f>
        <v>23695.559999999998</v>
      </c>
      <c r="E88" s="429">
        <f>THIETBI!I100</f>
        <v>0</v>
      </c>
      <c r="F88" s="429">
        <f>DUNGCU!H65</f>
        <v>576.36378410256407</v>
      </c>
      <c r="G88" s="429">
        <f>VATLIEU!F50</f>
        <v>0</v>
      </c>
      <c r="H88" s="429">
        <f>DIENNANG!F55</f>
        <v>695.56596479999996</v>
      </c>
      <c r="I88" s="429">
        <f>SUM(Table10[[#This Row],[1]:[5]])</f>
        <v>24967.489748902561</v>
      </c>
      <c r="J88" s="429">
        <f>Table10[[#This Row],[6=1+...+5]]*15%</f>
        <v>3745.1234623353839</v>
      </c>
      <c r="K88" s="429">
        <f>(Table10[[#This Row],[6=1+...+5]]-Table10[[#This Row],[2]])*15%</f>
        <v>3745.1234623353839</v>
      </c>
      <c r="L88" s="429">
        <f>Table10[[#This Row],[6=1+...+5]]+Table10[[#This Row],[7=6*15%]]</f>
        <v>28712.613211237946</v>
      </c>
      <c r="M88" s="464">
        <f t="shared" si="11"/>
        <v>28712.613211237946</v>
      </c>
      <c r="N88" s="187"/>
    </row>
    <row r="89" spans="1:14" ht="15.75" x14ac:dyDescent="0.25">
      <c r="A89" s="79" t="s">
        <v>127</v>
      </c>
      <c r="B89" s="37" t="s">
        <v>31</v>
      </c>
      <c r="C89" s="5" t="s">
        <v>565</v>
      </c>
      <c r="D89" s="429">
        <f>NHANCONG!G89</f>
        <v>224066.41999999998</v>
      </c>
      <c r="E89" s="429">
        <f>THIETBI!I101</f>
        <v>527.625</v>
      </c>
      <c r="F89" s="429">
        <f>DUNGCU!H73</f>
        <v>1479.5113230769232</v>
      </c>
      <c r="G89" s="429">
        <f>VATLIEU!F51</f>
        <v>61.690799999999996</v>
      </c>
      <c r="H89" s="429">
        <f>DIENNANG!F61</f>
        <v>5787.4999391999991</v>
      </c>
      <c r="I89" s="429">
        <f>SUM(Table10[[#This Row],[1]:[5]])</f>
        <v>231922.74706227693</v>
      </c>
      <c r="J89" s="429">
        <f>Table10[[#This Row],[6=1+...+5]]*15%</f>
        <v>34788.412059341535</v>
      </c>
      <c r="K89" s="429">
        <f>(Table10[[#This Row],[6=1+...+5]]-Table10[[#This Row],[2]])*15%</f>
        <v>34709.26830934154</v>
      </c>
      <c r="L89" s="429">
        <f>Table10[[#This Row],[6=1+...+5]]+Table10[[#This Row],[7=6*15%]]</f>
        <v>266711.15912161849</v>
      </c>
      <c r="M89" s="464">
        <f t="shared" si="11"/>
        <v>266104.39037161844</v>
      </c>
      <c r="N89" s="187"/>
    </row>
    <row r="90" spans="1:14" s="10" customFormat="1" ht="15.75" x14ac:dyDescent="0.2">
      <c r="A90" s="79" t="s">
        <v>128</v>
      </c>
      <c r="B90" s="37" t="s">
        <v>32</v>
      </c>
      <c r="C90" s="5" t="s">
        <v>565</v>
      </c>
      <c r="D90" s="429">
        <f>NHANCONG!G90</f>
        <v>1146044.6400000001</v>
      </c>
      <c r="E90" s="429">
        <f>THIETBI!I103</f>
        <v>3269.022727272727</v>
      </c>
      <c r="F90" s="429">
        <f>DUNGCU!H80</f>
        <v>8877.0679384615396</v>
      </c>
      <c r="G90" s="429">
        <f>VATLIEU!F55</f>
        <v>4571.3448000000008</v>
      </c>
      <c r="H90" s="429">
        <f>DIENNANG!F67</f>
        <v>34848.979603200001</v>
      </c>
      <c r="I90" s="429">
        <f>SUM(Table10[[#This Row],[1]:[5]])</f>
        <v>1197611.0550689343</v>
      </c>
      <c r="J90" s="429">
        <f>Table10[[#This Row],[6=1+...+5]]*15%</f>
        <v>179641.65826034013</v>
      </c>
      <c r="K90" s="429">
        <f>(Table10[[#This Row],[6=1+...+5]]-Table10[[#This Row],[2]])*15%</f>
        <v>179151.30485124924</v>
      </c>
      <c r="L90" s="429">
        <f>Table10[[#This Row],[6=1+...+5]]+Table10[[#This Row],[7=6*15%]]</f>
        <v>1377252.7133292744</v>
      </c>
      <c r="M90" s="464">
        <f t="shared" si="11"/>
        <v>1373493.337192911</v>
      </c>
      <c r="N90" s="187"/>
    </row>
    <row r="91" spans="1:14" ht="15.75" x14ac:dyDescent="0.25">
      <c r="A91" s="79" t="s">
        <v>129</v>
      </c>
      <c r="B91" s="37" t="s">
        <v>33</v>
      </c>
      <c r="C91" s="5" t="s">
        <v>565</v>
      </c>
      <c r="D91" s="429">
        <f>NHANCONG!G91</f>
        <v>910958.55999999994</v>
      </c>
      <c r="E91" s="429">
        <f>THIETBI!I107</f>
        <v>3111.340909090909</v>
      </c>
      <c r="F91" s="429">
        <f>DUNGCU!H87</f>
        <v>6904.386174358975</v>
      </c>
      <c r="G91" s="429">
        <f>VATLIEU!F61</f>
        <v>161558</v>
      </c>
      <c r="H91" s="429">
        <f>DIENNANG!F75</f>
        <v>27813.563769600001</v>
      </c>
      <c r="I91" s="429">
        <f>SUM(Table10[[#This Row],[1]:[5]])</f>
        <v>1110345.8508530497</v>
      </c>
      <c r="J91" s="429">
        <f>Table10[[#This Row],[6=1+...+5]]*15%</f>
        <v>166551.87762795744</v>
      </c>
      <c r="K91" s="429">
        <f>(Table10[[#This Row],[6=1+...+5]]-Table10[[#This Row],[2]])*15%</f>
        <v>166085.17649159383</v>
      </c>
      <c r="L91" s="429">
        <f>Table10[[#This Row],[6=1+...+5]]+Table10[[#This Row],[7=6*15%]]</f>
        <v>1276897.728481007</v>
      </c>
      <c r="M91" s="464">
        <f t="shared" si="11"/>
        <v>1273319.6864355528</v>
      </c>
      <c r="N91" s="187"/>
    </row>
    <row r="92" spans="1:14" ht="15.75" x14ac:dyDescent="0.25">
      <c r="A92" s="79" t="s">
        <v>130</v>
      </c>
      <c r="B92" s="37" t="s">
        <v>34</v>
      </c>
      <c r="C92" s="5" t="s">
        <v>565</v>
      </c>
      <c r="D92" s="429">
        <f>NHANCONG!G92</f>
        <v>609754.52</v>
      </c>
      <c r="E92" s="429">
        <f>THIETBI!I111</f>
        <v>1789.659090909091</v>
      </c>
      <c r="F92" s="429">
        <f>DUNGCU!H94</f>
        <v>4931.7044102564105</v>
      </c>
      <c r="G92" s="429">
        <f>VATLIEU!F66</f>
        <v>2389.636</v>
      </c>
      <c r="H92" s="429">
        <f>DIENNANG!F83</f>
        <v>19330.010784000006</v>
      </c>
      <c r="I92" s="429">
        <f>SUM(Table10[[#This Row],[1]:[5]])</f>
        <v>638195.53028516565</v>
      </c>
      <c r="J92" s="429">
        <f>Table10[[#This Row],[6=1+...+5]]*15%</f>
        <v>95729.329542774838</v>
      </c>
      <c r="K92" s="429">
        <f>(Table10[[#This Row],[6=1+...+5]]-Table10[[#This Row],[2]])*15%</f>
        <v>95460.880679138485</v>
      </c>
      <c r="L92" s="429">
        <f>Table10[[#This Row],[6=1+...+5]]+Table10[[#This Row],[7=6*15%]]</f>
        <v>733924.85982794047</v>
      </c>
      <c r="M92" s="464">
        <f t="shared" si="11"/>
        <v>731866.75187339506</v>
      </c>
      <c r="N92" s="187"/>
    </row>
    <row r="93" spans="1:14" ht="31.5" x14ac:dyDescent="0.25">
      <c r="A93" s="79" t="s">
        <v>131</v>
      </c>
      <c r="B93" s="37" t="s">
        <v>35</v>
      </c>
      <c r="C93" s="5" t="s">
        <v>565</v>
      </c>
      <c r="D93" s="429">
        <f>NHANCONG!G93</f>
        <v>146928.80000000002</v>
      </c>
      <c r="E93" s="429">
        <f>THIETBI!I115</f>
        <v>351.75</v>
      </c>
      <c r="F93" s="429">
        <f>DUNGCU!H101</f>
        <v>986.34088205128205</v>
      </c>
      <c r="G93" s="429">
        <f>VATLIEU!F71</f>
        <v>335.67199999999997</v>
      </c>
      <c r="H93" s="429">
        <f>DIENNANG!F91</f>
        <v>3858.3332927999995</v>
      </c>
      <c r="I93" s="429">
        <f>SUM(Table10[[#This Row],[1]:[5]])</f>
        <v>152460.89617485128</v>
      </c>
      <c r="J93" s="429">
        <f>Table10[[#This Row],[6=1+...+5]]*15%</f>
        <v>22869.134426227691</v>
      </c>
      <c r="K93" s="429">
        <f>(Table10[[#This Row],[6=1+...+5]]-Table10[[#This Row],[2]])*15%</f>
        <v>22816.37192622769</v>
      </c>
      <c r="L93" s="429">
        <f>Table10[[#This Row],[6=1+...+5]]+Table10[[#This Row],[7=6*15%]]</f>
        <v>175330.03060107896</v>
      </c>
      <c r="M93" s="464">
        <f t="shared" si="11"/>
        <v>174925.51810107898</v>
      </c>
      <c r="N93" s="187"/>
    </row>
    <row r="94" spans="1:14" ht="15.75" x14ac:dyDescent="0.25">
      <c r="A94" s="79" t="s">
        <v>132</v>
      </c>
      <c r="B94" s="37" t="s">
        <v>36</v>
      </c>
      <c r="C94" s="5" t="s">
        <v>565</v>
      </c>
      <c r="D94" s="429">
        <f>NHANCONG!G94</f>
        <v>1652949</v>
      </c>
      <c r="E94" s="429">
        <f>THIETBI!I117</f>
        <v>5490.7136363636364</v>
      </c>
      <c r="F94" s="429">
        <f>DUNGCU!H108</f>
        <v>12822.431466666665</v>
      </c>
      <c r="G94" s="429">
        <f>VATLIEU!F75</f>
        <v>228533.46000000002</v>
      </c>
      <c r="H94" s="429">
        <f>DIENNANG!F97</f>
        <v>51297.095203199999</v>
      </c>
      <c r="I94" s="429">
        <f>SUM(Table10[[#This Row],[1]:[5]])</f>
        <v>1951092.7003062302</v>
      </c>
      <c r="J94" s="429">
        <f>Table10[[#This Row],[6=1+...+5]]*15%</f>
        <v>292663.90504593455</v>
      </c>
      <c r="K94" s="429">
        <f>(Table10[[#This Row],[6=1+...+5]]-Table10[[#This Row],[2]])*15%</f>
        <v>291840.29800047999</v>
      </c>
      <c r="L94" s="429">
        <f>Table10[[#This Row],[6=1+...+5]]+Table10[[#This Row],[7=6*15%]]</f>
        <v>2243756.6053521647</v>
      </c>
      <c r="M94" s="464">
        <f t="shared" si="11"/>
        <v>2237442.2846703464</v>
      </c>
      <c r="N94" s="187"/>
    </row>
    <row r="95" spans="1:14" s="10" customFormat="1" ht="15.75" x14ac:dyDescent="0.2">
      <c r="A95" s="79" t="s">
        <v>133</v>
      </c>
      <c r="B95" s="37" t="s">
        <v>37</v>
      </c>
      <c r="C95" s="5" t="s">
        <v>565</v>
      </c>
      <c r="D95" s="429">
        <f>NHANCONG!G95</f>
        <v>348955.89999999997</v>
      </c>
      <c r="E95" s="429">
        <f>THIETBI!I121</f>
        <v>879.375</v>
      </c>
      <c r="F95" s="429">
        <f>DUNGCU!H115</f>
        <v>2465.8522051282052</v>
      </c>
      <c r="G95" s="429">
        <f>VATLIEU!F80</f>
        <v>21</v>
      </c>
      <c r="H95" s="429">
        <f>DIENNANG!F105</f>
        <v>9645.8332320000027</v>
      </c>
      <c r="I95" s="429">
        <f>SUM(Table10[[#This Row],[1]:[5]])</f>
        <v>361967.9604371282</v>
      </c>
      <c r="J95" s="429">
        <f>Table10[[#This Row],[6=1+...+5]]*15%</f>
        <v>54295.194065569231</v>
      </c>
      <c r="K95" s="429">
        <f>(Table10[[#This Row],[6=1+...+5]]-Table10[[#This Row],[2]])*15%</f>
        <v>54163.287815569231</v>
      </c>
      <c r="L95" s="429">
        <f>Table10[[#This Row],[6=1+...+5]]+Table10[[#This Row],[7=6*15%]]</f>
        <v>416263.15450269741</v>
      </c>
      <c r="M95" s="464">
        <f t="shared" si="11"/>
        <v>415251.87325269741</v>
      </c>
      <c r="N95" s="187"/>
    </row>
    <row r="96" spans="1:14" s="10" customFormat="1" ht="31.5" x14ac:dyDescent="0.2">
      <c r="A96" s="79" t="s">
        <v>134</v>
      </c>
      <c r="B96" s="37" t="s">
        <v>38</v>
      </c>
      <c r="C96" s="5" t="s">
        <v>565</v>
      </c>
      <c r="D96" s="429">
        <f>NHANCONG!G96</f>
        <v>84484.06</v>
      </c>
      <c r="E96" s="429">
        <f>THIETBI!I123</f>
        <v>794.05681818181813</v>
      </c>
      <c r="F96" s="429">
        <f>DUNGCU!H122</f>
        <v>644.40033564102566</v>
      </c>
      <c r="G96" s="429">
        <f>VATLIEU!F83</f>
        <v>566423.63599999994</v>
      </c>
      <c r="H96" s="429">
        <f>DIENNANG!F111</f>
        <v>3177.7535663999997</v>
      </c>
      <c r="I96" s="429">
        <f>SUM(Table10[[#This Row],[1]:[5]])</f>
        <v>655523.90672022279</v>
      </c>
      <c r="J96" s="429">
        <f>Table10[[#This Row],[6=1+...+5]]*15%</f>
        <v>98328.58600803341</v>
      </c>
      <c r="K96" s="429">
        <f>(Table10[[#This Row],[6=1+...+5]]-Table10[[#This Row],[2]])*15%</f>
        <v>98209.477485306154</v>
      </c>
      <c r="L96" s="429">
        <f>Table10[[#This Row],[6=1+...+5]]+Table10[[#This Row],[7=6*15%]]</f>
        <v>753852.49272825615</v>
      </c>
      <c r="M96" s="464">
        <f t="shared" si="11"/>
        <v>752939.32738734712</v>
      </c>
      <c r="N96" s="187"/>
    </row>
    <row r="97" spans="1:15" ht="15.75" x14ac:dyDescent="0.25">
      <c r="A97" s="79" t="s">
        <v>135</v>
      </c>
      <c r="B97" s="37" t="s">
        <v>39</v>
      </c>
      <c r="C97" s="5" t="s">
        <v>565</v>
      </c>
      <c r="D97" s="429">
        <f>NHANCONG!G97</f>
        <v>40405.42</v>
      </c>
      <c r="E97" s="429">
        <f>THIETBI!I127</f>
        <v>175.875</v>
      </c>
      <c r="F97" s="429">
        <f>DUNGCU!H131</f>
        <v>493.17044102564103</v>
      </c>
      <c r="G97" s="429">
        <f>VATLIEU!F90</f>
        <v>502480</v>
      </c>
      <c r="H97" s="429">
        <f>DIENNANG!F121</f>
        <v>1929.1666463999998</v>
      </c>
      <c r="I97" s="429">
        <f>SUM(Table10[[#This Row],[1]:[5]])</f>
        <v>545483.63208742568</v>
      </c>
      <c r="J97" s="429">
        <f>Table10[[#This Row],[6=1+...+5]]*15%</f>
        <v>81822.544813113855</v>
      </c>
      <c r="K97" s="429">
        <f>(Table10[[#This Row],[6=1+...+5]]-Table10[[#This Row],[2]])*15%</f>
        <v>81796.163563113849</v>
      </c>
      <c r="L97" s="429">
        <f>Table10[[#This Row],[6=1+...+5]]+Table10[[#This Row],[7=6*15%]]</f>
        <v>627306.17690053955</v>
      </c>
      <c r="M97" s="464">
        <f t="shared" si="11"/>
        <v>627103.92065053957</v>
      </c>
      <c r="N97" s="187"/>
    </row>
    <row r="98" spans="1:15" ht="31.5" x14ac:dyDescent="0.25">
      <c r="A98" s="79" t="s">
        <v>136</v>
      </c>
      <c r="B98" s="37" t="s">
        <v>40</v>
      </c>
      <c r="C98" s="5" t="s">
        <v>565</v>
      </c>
      <c r="D98" s="429">
        <f>NHANCONG!G98</f>
        <v>264471.83999999997</v>
      </c>
      <c r="E98" s="429">
        <f>THIETBI!I129</f>
        <v>0</v>
      </c>
      <c r="F98" s="429">
        <f>DUNGCU!H138</f>
        <v>1481.958876923077</v>
      </c>
      <c r="G98" s="429">
        <f>VATLIEU!F94</f>
        <v>0</v>
      </c>
      <c r="H98" s="429">
        <f>DIENNANG!F127</f>
        <v>842.04126719999999</v>
      </c>
      <c r="I98" s="429">
        <f>SUM(Table10[[#This Row],[1]:[5]])</f>
        <v>266795.84014412307</v>
      </c>
      <c r="J98" s="429">
        <f>Table10[[#This Row],[6=1+...+5]]*15%</f>
        <v>40019.37602161846</v>
      </c>
      <c r="K98" s="429">
        <f>(Table10[[#This Row],[6=1+...+5]]-Table10[[#This Row],[2]])*15%</f>
        <v>40019.37602161846</v>
      </c>
      <c r="L98" s="429">
        <f>Table10[[#This Row],[6=1+...+5]]+Table10[[#This Row],[7=6*15%]]</f>
        <v>306815.21616574156</v>
      </c>
      <c r="M98" s="464">
        <f t="shared" si="11"/>
        <v>306815.21616574156</v>
      </c>
      <c r="N98" s="187"/>
      <c r="O98" s="7"/>
    </row>
    <row r="99" spans="1:15" ht="31.5" x14ac:dyDescent="0.25">
      <c r="A99" s="79" t="s">
        <v>137</v>
      </c>
      <c r="B99" s="37" t="s">
        <v>41</v>
      </c>
      <c r="C99" s="5" t="s">
        <v>565</v>
      </c>
      <c r="D99" s="429">
        <f>NHANCONG!G99</f>
        <v>213046.75999999998</v>
      </c>
      <c r="E99" s="429">
        <f>THIETBI!I130</f>
        <v>536.89772727272725</v>
      </c>
      <c r="F99" s="429">
        <f>DUNGCU!H146</f>
        <v>1120.2036307692308</v>
      </c>
      <c r="G99" s="429">
        <f>VATLIEU!F95</f>
        <v>7048.9080000000004</v>
      </c>
      <c r="H99" s="429">
        <f>DIENNANG!F132</f>
        <v>5799.0032351999989</v>
      </c>
      <c r="I99" s="429">
        <f>SUM(Table10[[#This Row],[1]:[5]])</f>
        <v>227551.77259324194</v>
      </c>
      <c r="J99" s="429">
        <f>Table10[[#This Row],[6=1+...+5]]*15%</f>
        <v>34132.765888986287</v>
      </c>
      <c r="K99" s="429">
        <f>(Table10[[#This Row],[6=1+...+5]]-Table10[[#This Row],[2]])*15%</f>
        <v>34052.231229895377</v>
      </c>
      <c r="L99" s="429">
        <f>Table10[[#This Row],[6=1+...+5]]+Table10[[#This Row],[7=6*15%]]</f>
        <v>261684.53848222824</v>
      </c>
      <c r="M99" s="464">
        <f t="shared" si="11"/>
        <v>261067.10609586458</v>
      </c>
      <c r="N99" s="187"/>
      <c r="O99" s="15"/>
    </row>
    <row r="100" spans="1:15" ht="25.5" x14ac:dyDescent="0.25">
      <c r="A100" s="79"/>
      <c r="B100" s="203" t="s">
        <v>499</v>
      </c>
      <c r="C100" s="5"/>
      <c r="D100" s="429"/>
      <c r="E100" s="429"/>
      <c r="F100" s="429"/>
      <c r="G100" s="429"/>
      <c r="H100" s="429"/>
      <c r="I100" s="429"/>
      <c r="J100" s="429"/>
      <c r="K100" s="429"/>
      <c r="L100" s="465"/>
      <c r="M100" s="465"/>
      <c r="N100" s="33" t="s">
        <v>503</v>
      </c>
      <c r="O100" s="7"/>
    </row>
    <row r="101" spans="1:15" ht="31.5" x14ac:dyDescent="0.25">
      <c r="A101" s="79" t="s">
        <v>125</v>
      </c>
      <c r="B101" s="37" t="s">
        <v>29</v>
      </c>
      <c r="C101" s="5" t="s">
        <v>565</v>
      </c>
      <c r="D101" s="429">
        <f>NHANCONG!G101</f>
        <v>84080.700000000012</v>
      </c>
      <c r="E101" s="429">
        <f>THIETBI!I135</f>
        <v>393.72500000000002</v>
      </c>
      <c r="F101" s="429">
        <f>DUNGCU!H153</f>
        <v>1084.9749702564104</v>
      </c>
      <c r="G101" s="429">
        <f>VATLIEU!F100</f>
        <v>516.47991999999999</v>
      </c>
      <c r="H101" s="429">
        <f>H87</f>
        <v>3866.0021567999997</v>
      </c>
      <c r="I101" s="429">
        <f>SUM(Table10[[#This Row],[1]:[5]])</f>
        <v>89941.882047056424</v>
      </c>
      <c r="J101" s="429">
        <f>Table10[[#This Row],[6=1+...+5]]*15%</f>
        <v>13491.282307058464</v>
      </c>
      <c r="K101" s="429">
        <f>(Table10[[#This Row],[6=1+...+5]]-Table10[[#This Row],[2]])*15%</f>
        <v>13432.223557058462</v>
      </c>
      <c r="L101" s="429">
        <f>Table10[[#This Row],[6=1+...+5]]+Table10[[#This Row],[7=6*15%]]</f>
        <v>103433.16435411488</v>
      </c>
      <c r="M101" s="464">
        <f t="shared" ref="M101:M113" si="12">I101-E101+K101</f>
        <v>102980.38060411488</v>
      </c>
      <c r="N101" s="187"/>
      <c r="O101" s="7"/>
    </row>
    <row r="102" spans="1:15" ht="31.5" x14ac:dyDescent="0.25">
      <c r="A102" s="79" t="s">
        <v>126</v>
      </c>
      <c r="B102" s="37" t="s">
        <v>30</v>
      </c>
      <c r="C102" s="5" t="s">
        <v>565</v>
      </c>
      <c r="D102" s="429">
        <f>NHANCONG!G102</f>
        <v>26065.115999999998</v>
      </c>
      <c r="E102" s="429">
        <f>THIETBI!I136</f>
        <v>0</v>
      </c>
      <c r="F102" s="429">
        <f>DUNGCU!H154</f>
        <v>634.00016251282057</v>
      </c>
      <c r="G102" s="429">
        <f>VATLIEU!F101</f>
        <v>0</v>
      </c>
      <c r="H102" s="429">
        <f t="shared" ref="H102:H113" si="13">H88</f>
        <v>695.56596479999996</v>
      </c>
      <c r="I102" s="429">
        <f>SUM(Table10[[#This Row],[1]:[5]])</f>
        <v>27394.682127312819</v>
      </c>
      <c r="J102" s="429">
        <f>Table10[[#This Row],[6=1+...+5]]*15%</f>
        <v>4109.202319096923</v>
      </c>
      <c r="K102" s="429">
        <f>(Table10[[#This Row],[6=1+...+5]]-Table10[[#This Row],[2]])*15%</f>
        <v>4109.202319096923</v>
      </c>
      <c r="L102" s="429">
        <f>Table10[[#This Row],[6=1+...+5]]+Table10[[#This Row],[7=6*15%]]</f>
        <v>31503.884446409742</v>
      </c>
      <c r="M102" s="464">
        <f t="shared" si="12"/>
        <v>31503.884446409742</v>
      </c>
      <c r="N102" s="187"/>
    </row>
    <row r="103" spans="1:15" ht="15.75" x14ac:dyDescent="0.25">
      <c r="A103" s="79" t="s">
        <v>127</v>
      </c>
      <c r="B103" s="37" t="s">
        <v>31</v>
      </c>
      <c r="C103" s="5" t="s">
        <v>565</v>
      </c>
      <c r="D103" s="429">
        <f>NHANCONG!G103</f>
        <v>246473.06200000001</v>
      </c>
      <c r="E103" s="429">
        <f>THIETBI!I137</f>
        <v>580.38750000000005</v>
      </c>
      <c r="F103" s="429">
        <f>DUNGCU!H155</f>
        <v>1627.4624553846156</v>
      </c>
      <c r="G103" s="429">
        <f>VATLIEU!F102</f>
        <v>67.859880000000004</v>
      </c>
      <c r="H103" s="429">
        <f t="shared" si="13"/>
        <v>5787.4999391999991</v>
      </c>
      <c r="I103" s="429">
        <f>SUM(Table10[[#This Row],[1]:[5]])</f>
        <v>254536.27177458463</v>
      </c>
      <c r="J103" s="429">
        <f>Table10[[#This Row],[6=1+...+5]]*15%</f>
        <v>38180.44076618769</v>
      </c>
      <c r="K103" s="429">
        <f>(Table10[[#This Row],[6=1+...+5]]-Table10[[#This Row],[2]])*15%</f>
        <v>38093.382641187694</v>
      </c>
      <c r="L103" s="429">
        <f>Table10[[#This Row],[6=1+...+5]]+Table10[[#This Row],[7=6*15%]]</f>
        <v>292716.71254077234</v>
      </c>
      <c r="M103" s="464">
        <f t="shared" si="12"/>
        <v>292049.26691577234</v>
      </c>
      <c r="N103" s="187"/>
    </row>
    <row r="104" spans="1:15" ht="15.75" x14ac:dyDescent="0.25">
      <c r="A104" s="79" t="s">
        <v>128</v>
      </c>
      <c r="B104" s="37" t="s">
        <v>32</v>
      </c>
      <c r="C104" s="5" t="s">
        <v>565</v>
      </c>
      <c r="D104" s="429">
        <f>NHANCONG!G104</f>
        <v>1260649.1040000003</v>
      </c>
      <c r="E104" s="429">
        <f>THIETBI!I138</f>
        <v>3595.9250000000002</v>
      </c>
      <c r="F104" s="429">
        <f>DUNGCU!H156</f>
        <v>9764.7747323076946</v>
      </c>
      <c r="G104" s="429">
        <f>VATLIEU!F103</f>
        <v>5028.4792800000014</v>
      </c>
      <c r="H104" s="429">
        <f t="shared" si="13"/>
        <v>34848.979603200001</v>
      </c>
      <c r="I104" s="429">
        <f>SUM(Table10[[#This Row],[1]:[5]])</f>
        <v>1313887.2626155082</v>
      </c>
      <c r="J104" s="429">
        <f>Table10[[#This Row],[6=1+...+5]]*15%</f>
        <v>197083.08939232622</v>
      </c>
      <c r="K104" s="429">
        <f>(Table10[[#This Row],[6=1+...+5]]-Table10[[#This Row],[2]])*15%</f>
        <v>196543.70064232621</v>
      </c>
      <c r="L104" s="429">
        <f>Table10[[#This Row],[6=1+...+5]]+Table10[[#This Row],[7=6*15%]]</f>
        <v>1510970.3520078345</v>
      </c>
      <c r="M104" s="464">
        <f t="shared" si="12"/>
        <v>1506835.0382578343</v>
      </c>
      <c r="N104" s="187"/>
    </row>
    <row r="105" spans="1:15" ht="15.75" x14ac:dyDescent="0.25">
      <c r="A105" s="79" t="s">
        <v>129</v>
      </c>
      <c r="B105" s="37" t="s">
        <v>33</v>
      </c>
      <c r="C105" s="5" t="s">
        <v>565</v>
      </c>
      <c r="D105" s="429">
        <f>NHANCONG!G105</f>
        <v>1002054.416</v>
      </c>
      <c r="E105" s="429">
        <f>THIETBI!I139</f>
        <v>3422.4750000000004</v>
      </c>
      <c r="F105" s="429">
        <f>DUNGCU!H157</f>
        <v>7594.8247917948729</v>
      </c>
      <c r="G105" s="429">
        <f>VATLIEU!F104</f>
        <v>177713.80000000002</v>
      </c>
      <c r="H105" s="429">
        <f t="shared" si="13"/>
        <v>27813.563769600001</v>
      </c>
      <c r="I105" s="429">
        <f>SUM(Table10[[#This Row],[1]:[5]])</f>
        <v>1218599.0795613946</v>
      </c>
      <c r="J105" s="429">
        <f>Table10[[#This Row],[6=1+...+5]]*15%</f>
        <v>182789.86193420918</v>
      </c>
      <c r="K105" s="429">
        <f>(Table10[[#This Row],[6=1+...+5]]-Table10[[#This Row],[2]])*15%</f>
        <v>182276.49068420919</v>
      </c>
      <c r="L105" s="429">
        <f>Table10[[#This Row],[6=1+...+5]]+Table10[[#This Row],[7=6*15%]]</f>
        <v>1401388.9414956039</v>
      </c>
      <c r="M105" s="464">
        <f t="shared" si="12"/>
        <v>1397453.0952456037</v>
      </c>
      <c r="N105" s="187"/>
    </row>
    <row r="106" spans="1:15" ht="15.75" x14ac:dyDescent="0.25">
      <c r="A106" s="79" t="s">
        <v>130</v>
      </c>
      <c r="B106" s="37" t="s">
        <v>34</v>
      </c>
      <c r="C106" s="5" t="s">
        <v>565</v>
      </c>
      <c r="D106" s="429">
        <f>NHANCONG!G106</f>
        <v>670729.97200000007</v>
      </c>
      <c r="E106" s="429">
        <f>THIETBI!I140</f>
        <v>1968.6250000000002</v>
      </c>
      <c r="F106" s="429">
        <f>DUNGCU!H158</f>
        <v>5424.8748512820521</v>
      </c>
      <c r="G106" s="429">
        <f>VATLIEU!F105</f>
        <v>2628.5996</v>
      </c>
      <c r="H106" s="429">
        <f t="shared" si="13"/>
        <v>19330.010784000006</v>
      </c>
      <c r="I106" s="429">
        <f>SUM(Table10[[#This Row],[1]:[5]])</f>
        <v>700082.08223528217</v>
      </c>
      <c r="J106" s="429">
        <f>Table10[[#This Row],[6=1+...+5]]*15%</f>
        <v>105012.31233529233</v>
      </c>
      <c r="K106" s="429">
        <f>(Table10[[#This Row],[6=1+...+5]]-Table10[[#This Row],[2]])*15%</f>
        <v>104717.01858529232</v>
      </c>
      <c r="L106" s="429">
        <f>Table10[[#This Row],[6=1+...+5]]+Table10[[#This Row],[7=6*15%]]</f>
        <v>805094.39457057451</v>
      </c>
      <c r="M106" s="464">
        <f t="shared" si="12"/>
        <v>802830.47582057444</v>
      </c>
      <c r="N106" s="187"/>
    </row>
    <row r="107" spans="1:15" ht="31.5" x14ac:dyDescent="0.25">
      <c r="A107" s="79" t="s">
        <v>131</v>
      </c>
      <c r="B107" s="37" t="s">
        <v>35</v>
      </c>
      <c r="C107" s="5" t="s">
        <v>565</v>
      </c>
      <c r="D107" s="429">
        <f>NHANCONG!G107</f>
        <v>161621.68000000002</v>
      </c>
      <c r="E107" s="429">
        <f>THIETBI!I141</f>
        <v>386.92500000000001</v>
      </c>
      <c r="F107" s="429">
        <f>DUNGCU!H159</f>
        <v>1084.9749702564104</v>
      </c>
      <c r="G107" s="429">
        <f>VATLIEU!F106</f>
        <v>369.23919999999998</v>
      </c>
      <c r="H107" s="429">
        <f t="shared" si="13"/>
        <v>3858.3332927999995</v>
      </c>
      <c r="I107" s="429">
        <f>SUM(Table10[[#This Row],[1]:[5]])</f>
        <v>167321.15246305644</v>
      </c>
      <c r="J107" s="429">
        <f>Table10[[#This Row],[6=1+...+5]]*15%</f>
        <v>25098.172869458464</v>
      </c>
      <c r="K107" s="429">
        <f>(Table10[[#This Row],[6=1+...+5]]-Table10[[#This Row],[2]])*15%</f>
        <v>25040.134119458467</v>
      </c>
      <c r="L107" s="429">
        <f>Table10[[#This Row],[6=1+...+5]]+Table10[[#This Row],[7=6*15%]]</f>
        <v>192419.32533251491</v>
      </c>
      <c r="M107" s="464">
        <f t="shared" si="12"/>
        <v>191974.36158251492</v>
      </c>
      <c r="N107" s="187"/>
    </row>
    <row r="108" spans="1:15" ht="15.75" x14ac:dyDescent="0.25">
      <c r="A108" s="79" t="s">
        <v>132</v>
      </c>
      <c r="B108" s="37" t="s">
        <v>36</v>
      </c>
      <c r="C108" s="5" t="s">
        <v>565</v>
      </c>
      <c r="D108" s="429">
        <f>NHANCONG!G108</f>
        <v>1818243.9000000001</v>
      </c>
      <c r="E108" s="429">
        <f>THIETBI!I142</f>
        <v>6039.7850000000008</v>
      </c>
      <c r="F108" s="429">
        <f>DUNGCU!H160</f>
        <v>14104.674613333333</v>
      </c>
      <c r="G108" s="429">
        <f>VATLIEU!F107</f>
        <v>251386.80600000004</v>
      </c>
      <c r="H108" s="429">
        <f t="shared" si="13"/>
        <v>51297.095203199999</v>
      </c>
      <c r="I108" s="429">
        <f>SUM(Table10[[#This Row],[1]:[5]])</f>
        <v>2141072.2608165336</v>
      </c>
      <c r="J108" s="429">
        <f>Table10[[#This Row],[6=1+...+5]]*15%</f>
        <v>321160.83912248001</v>
      </c>
      <c r="K108" s="429">
        <f>(Table10[[#This Row],[6=1+...+5]]-Table10[[#This Row],[2]])*15%</f>
        <v>320254.87137248</v>
      </c>
      <c r="L108" s="429">
        <f>Table10[[#This Row],[6=1+...+5]]+Table10[[#This Row],[7=6*15%]]</f>
        <v>2462233.0999390138</v>
      </c>
      <c r="M108" s="464">
        <f t="shared" si="12"/>
        <v>2455287.3471890134</v>
      </c>
      <c r="N108" s="187"/>
    </row>
    <row r="109" spans="1:15" ht="15.75" x14ac:dyDescent="0.25">
      <c r="A109" s="79" t="s">
        <v>133</v>
      </c>
      <c r="B109" s="37" t="s">
        <v>37</v>
      </c>
      <c r="C109" s="5" t="s">
        <v>565</v>
      </c>
      <c r="D109" s="429">
        <f>NHANCONG!G109</f>
        <v>383851.49</v>
      </c>
      <c r="E109" s="429">
        <f>THIETBI!I143</f>
        <v>967.31250000000011</v>
      </c>
      <c r="F109" s="429">
        <f>DUNGCU!H161</f>
        <v>2712.437425641026</v>
      </c>
      <c r="G109" s="429">
        <f>VATLIEU!F108</f>
        <v>23.1</v>
      </c>
      <c r="H109" s="429">
        <f t="shared" si="13"/>
        <v>9645.8332320000027</v>
      </c>
      <c r="I109" s="429">
        <f>SUM(Table10[[#This Row],[1]:[5]])</f>
        <v>397200.17315764102</v>
      </c>
      <c r="J109" s="429">
        <f>Table10[[#This Row],[6=1+...+5]]*15%</f>
        <v>59580.025973646152</v>
      </c>
      <c r="K109" s="429">
        <f>(Table10[[#This Row],[6=1+...+5]]-Table10[[#This Row],[2]])*15%</f>
        <v>59434.929098646149</v>
      </c>
      <c r="L109" s="429">
        <f>Table10[[#This Row],[6=1+...+5]]+Table10[[#This Row],[7=6*15%]]</f>
        <v>456780.19913128717</v>
      </c>
      <c r="M109" s="464">
        <f t="shared" si="12"/>
        <v>455667.78975628718</v>
      </c>
      <c r="N109" s="187"/>
    </row>
    <row r="110" spans="1:15" ht="31.5" x14ac:dyDescent="0.25">
      <c r="A110" s="79" t="s">
        <v>134</v>
      </c>
      <c r="B110" s="37" t="s">
        <v>38</v>
      </c>
      <c r="C110" s="5" t="s">
        <v>565</v>
      </c>
      <c r="D110" s="429">
        <f>NHANCONG!G110</f>
        <v>92932.466</v>
      </c>
      <c r="E110" s="429">
        <f>THIETBI!I144</f>
        <v>873.46249999999998</v>
      </c>
      <c r="F110" s="429">
        <f>DUNGCU!H162</f>
        <v>708.84036920512824</v>
      </c>
      <c r="G110" s="429">
        <f>VATLIEU!F109</f>
        <v>623065.99959999998</v>
      </c>
      <c r="H110" s="429">
        <f t="shared" si="13"/>
        <v>3177.7535663999997</v>
      </c>
      <c r="I110" s="429">
        <f>SUM(Table10[[#This Row],[1]:[5]])</f>
        <v>720758.52203560516</v>
      </c>
      <c r="J110" s="429">
        <f>Table10[[#This Row],[6=1+...+5]]*15%</f>
        <v>108113.77830534078</v>
      </c>
      <c r="K110" s="429">
        <f>(Table10[[#This Row],[6=1+...+5]]-Table10[[#This Row],[2]])*15%</f>
        <v>107982.75893034077</v>
      </c>
      <c r="L110" s="429">
        <f>Table10[[#This Row],[6=1+...+5]]+Table10[[#This Row],[7=6*15%]]</f>
        <v>828872.30034094595</v>
      </c>
      <c r="M110" s="464">
        <f t="shared" si="12"/>
        <v>827867.81846594589</v>
      </c>
      <c r="N110" s="187"/>
    </row>
    <row r="111" spans="1:15" ht="15.75" x14ac:dyDescent="0.25">
      <c r="A111" s="79" t="s">
        <v>135</v>
      </c>
      <c r="B111" s="37" t="s">
        <v>39</v>
      </c>
      <c r="C111" s="5" t="s">
        <v>565</v>
      </c>
      <c r="D111" s="429">
        <f>NHANCONG!G111</f>
        <v>44445.962</v>
      </c>
      <c r="E111" s="429">
        <f>THIETBI!I145</f>
        <v>193.46250000000001</v>
      </c>
      <c r="F111" s="429">
        <f>DUNGCU!H163</f>
        <v>542.48748512820521</v>
      </c>
      <c r="G111" s="429">
        <f>VATLIEU!F110</f>
        <v>552728</v>
      </c>
      <c r="H111" s="429">
        <f t="shared" si="13"/>
        <v>1929.1666463999998</v>
      </c>
      <c r="I111" s="429">
        <f>SUM(Table10[[#This Row],[1]:[5]])</f>
        <v>599839.07863152819</v>
      </c>
      <c r="J111" s="429">
        <f>Table10[[#This Row],[6=1+...+5]]*15%</f>
        <v>89975.861794729222</v>
      </c>
      <c r="K111" s="429">
        <f>(Table10[[#This Row],[6=1+...+5]]-Table10[[#This Row],[2]])*15%</f>
        <v>89946.842419729219</v>
      </c>
      <c r="L111" s="429">
        <f>Table10[[#This Row],[6=1+...+5]]+Table10[[#This Row],[7=6*15%]]</f>
        <v>689814.94042625744</v>
      </c>
      <c r="M111" s="464">
        <f t="shared" si="12"/>
        <v>689592.45855125738</v>
      </c>
      <c r="N111" s="187"/>
    </row>
    <row r="112" spans="1:15" ht="31.5" x14ac:dyDescent="0.25">
      <c r="A112" s="79" t="s">
        <v>136</v>
      </c>
      <c r="B112" s="37" t="s">
        <v>40</v>
      </c>
      <c r="C112" s="5" t="s">
        <v>565</v>
      </c>
      <c r="D112" s="429">
        <f>NHANCONG!G112</f>
        <v>290919.02399999998</v>
      </c>
      <c r="E112" s="429">
        <f>THIETBI!I146</f>
        <v>0</v>
      </c>
      <c r="F112" s="429">
        <f>DUNGCU!H164</f>
        <v>1630.1547646153849</v>
      </c>
      <c r="G112" s="429">
        <f>VATLIEU!F111</f>
        <v>0</v>
      </c>
      <c r="H112" s="429">
        <f t="shared" si="13"/>
        <v>842.04126719999999</v>
      </c>
      <c r="I112" s="429">
        <f>SUM(Table10[[#This Row],[1]:[5]])</f>
        <v>293391.22003181541</v>
      </c>
      <c r="J112" s="429">
        <f>Table10[[#This Row],[6=1+...+5]]*15%</f>
        <v>44008.683004772312</v>
      </c>
      <c r="K112" s="429">
        <f>(Table10[[#This Row],[6=1+...+5]]-Table10[[#This Row],[2]])*15%</f>
        <v>44008.683004772312</v>
      </c>
      <c r="L112" s="429">
        <f>Table10[[#This Row],[6=1+...+5]]+Table10[[#This Row],[7=6*15%]]</f>
        <v>337399.9030365877</v>
      </c>
      <c r="M112" s="464">
        <f t="shared" si="12"/>
        <v>337399.9030365877</v>
      </c>
      <c r="N112" s="187"/>
    </row>
    <row r="113" spans="1:14" ht="31.5" x14ac:dyDescent="0.25">
      <c r="A113" s="79" t="s">
        <v>137</v>
      </c>
      <c r="B113" s="37" t="s">
        <v>41</v>
      </c>
      <c r="C113" s="5" t="s">
        <v>565</v>
      </c>
      <c r="D113" s="429">
        <f>NHANCONG!G113</f>
        <v>234351.43599999999</v>
      </c>
      <c r="E113" s="429">
        <f>THIETBI!I147</f>
        <v>590.58749999999998</v>
      </c>
      <c r="F113" s="429">
        <f>DUNGCU!H165</f>
        <v>1232.2239938461539</v>
      </c>
      <c r="G113" s="429">
        <f>VATLIEU!F112</f>
        <v>7753.7988000000014</v>
      </c>
      <c r="H113" s="429">
        <f t="shared" si="13"/>
        <v>5799.0032351999989</v>
      </c>
      <c r="I113" s="429">
        <f>SUM(Table10[[#This Row],[1]:[5]])</f>
        <v>249727.04952904614</v>
      </c>
      <c r="J113" s="429">
        <f>Table10[[#This Row],[6=1+...+5]]*15%</f>
        <v>37459.057429356923</v>
      </c>
      <c r="K113" s="429">
        <f>(Table10[[#This Row],[6=1+...+5]]-Table10[[#This Row],[2]])*15%</f>
        <v>37370.46930435692</v>
      </c>
      <c r="L113" s="429">
        <f>Table10[[#This Row],[6=1+...+5]]+Table10[[#This Row],[7=6*15%]]</f>
        <v>287186.10695840308</v>
      </c>
      <c r="M113" s="464">
        <f t="shared" si="12"/>
        <v>286506.93133340304</v>
      </c>
      <c r="N113" s="187"/>
    </row>
    <row r="114" spans="1:14" ht="38.25" x14ac:dyDescent="0.25">
      <c r="A114" s="79"/>
      <c r="B114" s="203" t="s">
        <v>561</v>
      </c>
      <c r="C114" s="5"/>
      <c r="D114" s="429"/>
      <c r="E114" s="429"/>
      <c r="F114" s="429"/>
      <c r="G114" s="429"/>
      <c r="H114" s="429"/>
      <c r="I114" s="429"/>
      <c r="J114" s="429"/>
      <c r="K114" s="429"/>
      <c r="L114" s="465"/>
      <c r="M114" s="465"/>
      <c r="N114" s="437" t="s">
        <v>562</v>
      </c>
    </row>
    <row r="115" spans="1:14" ht="31.5" x14ac:dyDescent="0.25">
      <c r="A115" s="79" t="s">
        <v>125</v>
      </c>
      <c r="B115" s="37" t="s">
        <v>29</v>
      </c>
      <c r="C115" s="5" t="s">
        <v>565</v>
      </c>
      <c r="D115" s="429">
        <f>D87</f>
        <v>76437</v>
      </c>
      <c r="E115" s="429">
        <f t="shared" ref="E115:F115" si="14">E87</f>
        <v>357.93181818181819</v>
      </c>
      <c r="F115" s="429">
        <f t="shared" si="14"/>
        <v>986.34088205128205</v>
      </c>
      <c r="G115" s="429">
        <f>VLOOKUP(A115,VATLIEU!$A$113:$F$165,6,0)</f>
        <v>469.52719999999994</v>
      </c>
      <c r="H115" s="429">
        <f t="shared" ref="H115" si="15">H87</f>
        <v>3866.0021567999997</v>
      </c>
      <c r="I115" s="429">
        <f>SUM(Table10[[#This Row],[1]:[5]])</f>
        <v>82116.802057033099</v>
      </c>
      <c r="J115" s="429">
        <f>Table10[[#This Row],[6=1+...+5]]*15%</f>
        <v>12317.520308554964</v>
      </c>
      <c r="K115" s="429">
        <f>(Table10[[#This Row],[6=1+...+5]]-Table10[[#This Row],[2]])*15%</f>
        <v>12263.83053582769</v>
      </c>
      <c r="L115" s="429">
        <f>Table10[[#This Row],[6=1+...+5]]+Table10[[#This Row],[7=6*15%]]</f>
        <v>94434.322365588057</v>
      </c>
      <c r="M115" s="464">
        <f t="shared" ref="M115:M127" si="16">I115-E115+K115</f>
        <v>94022.70077467896</v>
      </c>
      <c r="N115" s="187"/>
    </row>
    <row r="116" spans="1:14" ht="31.5" x14ac:dyDescent="0.25">
      <c r="A116" s="79" t="s">
        <v>126</v>
      </c>
      <c r="B116" s="37" t="s">
        <v>30</v>
      </c>
      <c r="C116" s="5" t="s">
        <v>565</v>
      </c>
      <c r="D116" s="429">
        <f t="shared" ref="D116:F127" si="17">D88</f>
        <v>23695.559999999998</v>
      </c>
      <c r="E116" s="429">
        <f t="shared" si="17"/>
        <v>0</v>
      </c>
      <c r="F116" s="429">
        <f t="shared" si="17"/>
        <v>576.36378410256407</v>
      </c>
      <c r="G116" s="429">
        <f>VLOOKUP(A116,VATLIEU!$A$113:$F$165,6,0)</f>
        <v>0</v>
      </c>
      <c r="H116" s="429">
        <f t="shared" ref="H116" si="18">H88</f>
        <v>695.56596479999996</v>
      </c>
      <c r="I116" s="429">
        <f>SUM(Table10[[#This Row],[1]:[5]])</f>
        <v>24967.489748902561</v>
      </c>
      <c r="J116" s="429">
        <f>Table10[[#This Row],[6=1+...+5]]*15%</f>
        <v>3745.1234623353839</v>
      </c>
      <c r="K116" s="429">
        <f>(Table10[[#This Row],[6=1+...+5]]-Table10[[#This Row],[2]])*15%</f>
        <v>3745.1234623353839</v>
      </c>
      <c r="L116" s="429">
        <f>Table10[[#This Row],[6=1+...+5]]+Table10[[#This Row],[7=6*15%]]</f>
        <v>28712.613211237946</v>
      </c>
      <c r="M116" s="464">
        <f t="shared" si="16"/>
        <v>28712.613211237946</v>
      </c>
      <c r="N116" s="187"/>
    </row>
    <row r="117" spans="1:14" ht="15.75" x14ac:dyDescent="0.25">
      <c r="A117" s="79" t="s">
        <v>127</v>
      </c>
      <c r="B117" s="37" t="s">
        <v>31</v>
      </c>
      <c r="C117" s="5" t="s">
        <v>565</v>
      </c>
      <c r="D117" s="429">
        <f t="shared" si="17"/>
        <v>224066.41999999998</v>
      </c>
      <c r="E117" s="429">
        <f t="shared" si="17"/>
        <v>527.625</v>
      </c>
      <c r="F117" s="429">
        <f t="shared" si="17"/>
        <v>1479.5113230769232</v>
      </c>
      <c r="G117" s="429">
        <f>VLOOKUP(A117,VATLIEU!$A$113:$F$165,6,0)</f>
        <v>61.690799999999996</v>
      </c>
      <c r="H117" s="429">
        <f t="shared" ref="H117" si="19">H89</f>
        <v>5787.4999391999991</v>
      </c>
      <c r="I117" s="429">
        <f>SUM(Table10[[#This Row],[1]:[5]])</f>
        <v>231922.74706227693</v>
      </c>
      <c r="J117" s="429">
        <f>Table10[[#This Row],[6=1+...+5]]*15%</f>
        <v>34788.412059341535</v>
      </c>
      <c r="K117" s="429">
        <f>(Table10[[#This Row],[6=1+...+5]]-Table10[[#This Row],[2]])*15%</f>
        <v>34709.26830934154</v>
      </c>
      <c r="L117" s="429">
        <f>Table10[[#This Row],[6=1+...+5]]+Table10[[#This Row],[7=6*15%]]</f>
        <v>266711.15912161849</v>
      </c>
      <c r="M117" s="464">
        <f t="shared" si="16"/>
        <v>266104.39037161844</v>
      </c>
      <c r="N117" s="187"/>
    </row>
    <row r="118" spans="1:14" ht="15.75" x14ac:dyDescent="0.25">
      <c r="A118" s="79" t="s">
        <v>128</v>
      </c>
      <c r="B118" s="37" t="s">
        <v>32</v>
      </c>
      <c r="C118" s="5" t="s">
        <v>565</v>
      </c>
      <c r="D118" s="429">
        <f t="shared" si="17"/>
        <v>1146044.6400000001</v>
      </c>
      <c r="E118" s="429">
        <f t="shared" si="17"/>
        <v>3269.022727272727</v>
      </c>
      <c r="F118" s="429">
        <f t="shared" si="17"/>
        <v>8877.0679384615396</v>
      </c>
      <c r="G118" s="429">
        <f>VLOOKUP(A118,VATLIEU!$A$113:$F$165,6,0)</f>
        <v>4571.3448000000008</v>
      </c>
      <c r="H118" s="429">
        <f t="shared" ref="H118" si="20">H90</f>
        <v>34848.979603200001</v>
      </c>
      <c r="I118" s="429">
        <f>SUM(Table10[[#This Row],[1]:[5]])</f>
        <v>1197611.0550689343</v>
      </c>
      <c r="J118" s="429">
        <f>Table10[[#This Row],[6=1+...+5]]*15%</f>
        <v>179641.65826034013</v>
      </c>
      <c r="K118" s="429">
        <f>(Table10[[#This Row],[6=1+...+5]]-Table10[[#This Row],[2]])*15%</f>
        <v>179151.30485124924</v>
      </c>
      <c r="L118" s="429">
        <f>Table10[[#This Row],[6=1+...+5]]+Table10[[#This Row],[7=6*15%]]</f>
        <v>1377252.7133292744</v>
      </c>
      <c r="M118" s="464">
        <f t="shared" si="16"/>
        <v>1373493.337192911</v>
      </c>
      <c r="N118" s="187"/>
    </row>
    <row r="119" spans="1:14" ht="15.75" x14ac:dyDescent="0.25">
      <c r="A119" s="79" t="s">
        <v>129</v>
      </c>
      <c r="B119" s="37" t="s">
        <v>33</v>
      </c>
      <c r="C119" s="5" t="s">
        <v>565</v>
      </c>
      <c r="D119" s="429">
        <f t="shared" si="17"/>
        <v>910958.55999999994</v>
      </c>
      <c r="E119" s="429">
        <f t="shared" si="17"/>
        <v>3111.340909090909</v>
      </c>
      <c r="F119" s="429">
        <f t="shared" si="17"/>
        <v>6904.386174358975</v>
      </c>
      <c r="G119" s="429">
        <f>VLOOKUP(A119,VATLIEU!$A$113:$F$165,6,0)</f>
        <v>161558</v>
      </c>
      <c r="H119" s="429">
        <f t="shared" ref="H119" si="21">H91</f>
        <v>27813.563769600001</v>
      </c>
      <c r="I119" s="429">
        <f>SUM(Table10[[#This Row],[1]:[5]])</f>
        <v>1110345.8508530497</v>
      </c>
      <c r="J119" s="429">
        <f>Table10[[#This Row],[6=1+...+5]]*15%</f>
        <v>166551.87762795744</v>
      </c>
      <c r="K119" s="429">
        <f>(Table10[[#This Row],[6=1+...+5]]-Table10[[#This Row],[2]])*15%</f>
        <v>166085.17649159383</v>
      </c>
      <c r="L119" s="429">
        <f>Table10[[#This Row],[6=1+...+5]]+Table10[[#This Row],[7=6*15%]]</f>
        <v>1276897.728481007</v>
      </c>
      <c r="M119" s="464">
        <f t="shared" si="16"/>
        <v>1273319.6864355528</v>
      </c>
      <c r="N119" s="187"/>
    </row>
    <row r="120" spans="1:14" ht="15.75" x14ac:dyDescent="0.25">
      <c r="A120" s="79" t="s">
        <v>130</v>
      </c>
      <c r="B120" s="37" t="s">
        <v>34</v>
      </c>
      <c r="C120" s="5" t="s">
        <v>565</v>
      </c>
      <c r="D120" s="429">
        <f t="shared" si="17"/>
        <v>609754.52</v>
      </c>
      <c r="E120" s="429">
        <f t="shared" si="17"/>
        <v>1789.659090909091</v>
      </c>
      <c r="F120" s="429">
        <f t="shared" si="17"/>
        <v>4931.7044102564105</v>
      </c>
      <c r="G120" s="429">
        <f>VLOOKUP(A120,VATLIEU!$A$113:$F$165,6,0)</f>
        <v>2389.636</v>
      </c>
      <c r="H120" s="429">
        <f t="shared" ref="H120" si="22">H92</f>
        <v>19330.010784000006</v>
      </c>
      <c r="I120" s="429">
        <f>SUM(Table10[[#This Row],[1]:[5]])</f>
        <v>638195.53028516565</v>
      </c>
      <c r="J120" s="429">
        <f>Table10[[#This Row],[6=1+...+5]]*15%</f>
        <v>95729.329542774838</v>
      </c>
      <c r="K120" s="429">
        <f>(Table10[[#This Row],[6=1+...+5]]-Table10[[#This Row],[2]])*15%</f>
        <v>95460.880679138485</v>
      </c>
      <c r="L120" s="429">
        <f>Table10[[#This Row],[6=1+...+5]]+Table10[[#This Row],[7=6*15%]]</f>
        <v>733924.85982794047</v>
      </c>
      <c r="M120" s="464">
        <f t="shared" si="16"/>
        <v>731866.75187339506</v>
      </c>
      <c r="N120" s="187"/>
    </row>
    <row r="121" spans="1:14" ht="31.5" x14ac:dyDescent="0.25">
      <c r="A121" s="79" t="s">
        <v>131</v>
      </c>
      <c r="B121" s="37" t="s">
        <v>35</v>
      </c>
      <c r="C121" s="5" t="s">
        <v>565</v>
      </c>
      <c r="D121" s="429">
        <f t="shared" si="17"/>
        <v>146928.80000000002</v>
      </c>
      <c r="E121" s="429">
        <f t="shared" si="17"/>
        <v>351.75</v>
      </c>
      <c r="F121" s="429">
        <f t="shared" si="17"/>
        <v>986.34088205128205</v>
      </c>
      <c r="G121" s="429">
        <f>VLOOKUP(A121,VATLIEU!$A$113:$F$165,6,0)</f>
        <v>335.67199999999997</v>
      </c>
      <c r="H121" s="429">
        <f t="shared" ref="H121" si="23">H93</f>
        <v>3858.3332927999995</v>
      </c>
      <c r="I121" s="429">
        <f>SUM(Table10[[#This Row],[1]:[5]])</f>
        <v>152460.89617485128</v>
      </c>
      <c r="J121" s="429">
        <f>Table10[[#This Row],[6=1+...+5]]*15%</f>
        <v>22869.134426227691</v>
      </c>
      <c r="K121" s="429">
        <f>(Table10[[#This Row],[6=1+...+5]]-Table10[[#This Row],[2]])*15%</f>
        <v>22816.37192622769</v>
      </c>
      <c r="L121" s="429">
        <f>Table10[[#This Row],[6=1+...+5]]+Table10[[#This Row],[7=6*15%]]</f>
        <v>175330.03060107896</v>
      </c>
      <c r="M121" s="464">
        <f t="shared" si="16"/>
        <v>174925.51810107898</v>
      </c>
      <c r="N121" s="187"/>
    </row>
    <row r="122" spans="1:14" ht="15.75" x14ac:dyDescent="0.25">
      <c r="A122" s="79" t="s">
        <v>132</v>
      </c>
      <c r="B122" s="37" t="s">
        <v>36</v>
      </c>
      <c r="C122" s="5" t="s">
        <v>565</v>
      </c>
      <c r="D122" s="429">
        <f t="shared" si="17"/>
        <v>1652949</v>
      </c>
      <c r="E122" s="429">
        <f t="shared" si="17"/>
        <v>5490.7136363636364</v>
      </c>
      <c r="F122" s="429">
        <f t="shared" si="17"/>
        <v>12822.431466666665</v>
      </c>
      <c r="G122" s="429">
        <f>VLOOKUP(A122,VATLIEU!$A$113:$F$165,6,0)</f>
        <v>228533.46000000002</v>
      </c>
      <c r="H122" s="429">
        <f t="shared" ref="H122" si="24">H94</f>
        <v>51297.095203199999</v>
      </c>
      <c r="I122" s="429">
        <f>SUM(Table10[[#This Row],[1]:[5]])</f>
        <v>1951092.7003062302</v>
      </c>
      <c r="J122" s="429">
        <f>Table10[[#This Row],[6=1+...+5]]*15%</f>
        <v>292663.90504593455</v>
      </c>
      <c r="K122" s="429">
        <f>(Table10[[#This Row],[6=1+...+5]]-Table10[[#This Row],[2]])*15%</f>
        <v>291840.29800047999</v>
      </c>
      <c r="L122" s="429">
        <f>Table10[[#This Row],[6=1+...+5]]+Table10[[#This Row],[7=6*15%]]</f>
        <v>2243756.6053521647</v>
      </c>
      <c r="M122" s="464">
        <f t="shared" si="16"/>
        <v>2237442.2846703464</v>
      </c>
      <c r="N122" s="187"/>
    </row>
    <row r="123" spans="1:14" ht="15.75" x14ac:dyDescent="0.25">
      <c r="A123" s="79" t="s">
        <v>133</v>
      </c>
      <c r="B123" s="37" t="s">
        <v>37</v>
      </c>
      <c r="C123" s="5" t="s">
        <v>565</v>
      </c>
      <c r="D123" s="429">
        <f t="shared" si="17"/>
        <v>348955.89999999997</v>
      </c>
      <c r="E123" s="429">
        <f t="shared" si="17"/>
        <v>879.375</v>
      </c>
      <c r="F123" s="429">
        <f t="shared" si="17"/>
        <v>2465.8522051282052</v>
      </c>
      <c r="G123" s="429">
        <f>VLOOKUP(A123,VATLIEU!$A$113:$F$165,6,0)</f>
        <v>21</v>
      </c>
      <c r="H123" s="429">
        <f t="shared" ref="H123" si="25">H95</f>
        <v>9645.8332320000027</v>
      </c>
      <c r="I123" s="429">
        <f>SUM(Table10[[#This Row],[1]:[5]])</f>
        <v>361967.9604371282</v>
      </c>
      <c r="J123" s="429">
        <f>Table10[[#This Row],[6=1+...+5]]*15%</f>
        <v>54295.194065569231</v>
      </c>
      <c r="K123" s="429">
        <f>(Table10[[#This Row],[6=1+...+5]]-Table10[[#This Row],[2]])*15%</f>
        <v>54163.287815569231</v>
      </c>
      <c r="L123" s="429">
        <f>Table10[[#This Row],[6=1+...+5]]+Table10[[#This Row],[7=6*15%]]</f>
        <v>416263.15450269741</v>
      </c>
      <c r="M123" s="464">
        <f t="shared" si="16"/>
        <v>415251.87325269741</v>
      </c>
      <c r="N123" s="187"/>
    </row>
    <row r="124" spans="1:14" ht="31.5" x14ac:dyDescent="0.25">
      <c r="A124" s="79" t="s">
        <v>134</v>
      </c>
      <c r="B124" s="37" t="s">
        <v>38</v>
      </c>
      <c r="C124" s="5" t="s">
        <v>565</v>
      </c>
      <c r="D124" s="429">
        <f t="shared" si="17"/>
        <v>84484.06</v>
      </c>
      <c r="E124" s="429">
        <f t="shared" si="17"/>
        <v>794.05681818181813</v>
      </c>
      <c r="F124" s="429">
        <f t="shared" si="17"/>
        <v>644.40033564102566</v>
      </c>
      <c r="G124" s="429">
        <f>VLOOKUP(A124,VATLIEU!$A$113:$F$165,6,0)</f>
        <v>566423.63599999994</v>
      </c>
      <c r="H124" s="429">
        <f t="shared" ref="H124" si="26">H96</f>
        <v>3177.7535663999997</v>
      </c>
      <c r="I124" s="429">
        <f>SUM(Table10[[#This Row],[1]:[5]])</f>
        <v>655523.90672022279</v>
      </c>
      <c r="J124" s="429">
        <f>Table10[[#This Row],[6=1+...+5]]*15%</f>
        <v>98328.58600803341</v>
      </c>
      <c r="K124" s="429">
        <f>(Table10[[#This Row],[6=1+...+5]]-Table10[[#This Row],[2]])*15%</f>
        <v>98209.477485306154</v>
      </c>
      <c r="L124" s="429">
        <f>Table10[[#This Row],[6=1+...+5]]+Table10[[#This Row],[7=6*15%]]</f>
        <v>753852.49272825615</v>
      </c>
      <c r="M124" s="464">
        <f t="shared" si="16"/>
        <v>752939.32738734712</v>
      </c>
      <c r="N124" s="187"/>
    </row>
    <row r="125" spans="1:14" ht="15.75" x14ac:dyDescent="0.25">
      <c r="A125" s="79" t="s">
        <v>135</v>
      </c>
      <c r="B125" s="37" t="s">
        <v>39</v>
      </c>
      <c r="C125" s="5" t="s">
        <v>565</v>
      </c>
      <c r="D125" s="429">
        <f t="shared" si="17"/>
        <v>40405.42</v>
      </c>
      <c r="E125" s="429">
        <f t="shared" si="17"/>
        <v>175.875</v>
      </c>
      <c r="F125" s="429">
        <f t="shared" si="17"/>
        <v>493.17044102564103</v>
      </c>
      <c r="G125" s="429">
        <f>VLOOKUP(A125,VATLIEU!$A$113:$F$165,6,0)</f>
        <v>502480</v>
      </c>
      <c r="H125" s="429">
        <f t="shared" ref="H125" si="27">H97</f>
        <v>1929.1666463999998</v>
      </c>
      <c r="I125" s="429">
        <f>SUM(Table10[[#This Row],[1]:[5]])</f>
        <v>545483.63208742568</v>
      </c>
      <c r="J125" s="429">
        <f>Table10[[#This Row],[6=1+...+5]]*15%</f>
        <v>81822.544813113855</v>
      </c>
      <c r="K125" s="429">
        <f>(Table10[[#This Row],[6=1+...+5]]-Table10[[#This Row],[2]])*15%</f>
        <v>81796.163563113849</v>
      </c>
      <c r="L125" s="429">
        <f>Table10[[#This Row],[6=1+...+5]]+Table10[[#This Row],[7=6*15%]]</f>
        <v>627306.17690053955</v>
      </c>
      <c r="M125" s="464">
        <f t="shared" si="16"/>
        <v>627103.92065053957</v>
      </c>
      <c r="N125" s="187"/>
    </row>
    <row r="126" spans="1:14" ht="31.5" x14ac:dyDescent="0.25">
      <c r="A126" s="79" t="s">
        <v>136</v>
      </c>
      <c r="B126" s="37" t="s">
        <v>40</v>
      </c>
      <c r="C126" s="5" t="s">
        <v>565</v>
      </c>
      <c r="D126" s="429">
        <f t="shared" si="17"/>
        <v>264471.83999999997</v>
      </c>
      <c r="E126" s="429">
        <f t="shared" si="17"/>
        <v>0</v>
      </c>
      <c r="F126" s="429">
        <f t="shared" si="17"/>
        <v>1481.958876923077</v>
      </c>
      <c r="G126" s="429">
        <f>VLOOKUP(A126,VATLIEU!$A$113:$F$165,6,0)</f>
        <v>0</v>
      </c>
      <c r="H126" s="429">
        <f t="shared" ref="H126" si="28">H98</f>
        <v>842.04126719999999</v>
      </c>
      <c r="I126" s="429">
        <f>SUM(Table10[[#This Row],[1]:[5]])</f>
        <v>266795.84014412307</v>
      </c>
      <c r="J126" s="429">
        <f>Table10[[#This Row],[6=1+...+5]]*15%</f>
        <v>40019.37602161846</v>
      </c>
      <c r="K126" s="429">
        <f>(Table10[[#This Row],[6=1+...+5]]-Table10[[#This Row],[2]])*15%</f>
        <v>40019.37602161846</v>
      </c>
      <c r="L126" s="429">
        <f>Table10[[#This Row],[6=1+...+5]]+Table10[[#This Row],[7=6*15%]]</f>
        <v>306815.21616574156</v>
      </c>
      <c r="M126" s="464">
        <f t="shared" si="16"/>
        <v>306815.21616574156</v>
      </c>
      <c r="N126" s="187"/>
    </row>
    <row r="127" spans="1:14" ht="31.5" x14ac:dyDescent="0.25">
      <c r="A127" s="79" t="s">
        <v>137</v>
      </c>
      <c r="B127" s="37" t="s">
        <v>41</v>
      </c>
      <c r="C127" s="5" t="s">
        <v>565</v>
      </c>
      <c r="D127" s="429">
        <f t="shared" si="17"/>
        <v>213046.75999999998</v>
      </c>
      <c r="E127" s="429">
        <f t="shared" si="17"/>
        <v>536.89772727272725</v>
      </c>
      <c r="F127" s="429">
        <f t="shared" si="17"/>
        <v>1120.2036307692308</v>
      </c>
      <c r="G127" s="429">
        <f>VLOOKUP(A127,VATLIEU!$A$113:$F$165,6,0)</f>
        <v>7048.9080000000004</v>
      </c>
      <c r="H127" s="429">
        <f t="shared" ref="H127" si="29">H99</f>
        <v>5799.0032351999989</v>
      </c>
      <c r="I127" s="429">
        <f>SUM(Table10[[#This Row],[1]:[5]])</f>
        <v>227551.77259324194</v>
      </c>
      <c r="J127" s="429">
        <f>Table10[[#This Row],[6=1+...+5]]*15%</f>
        <v>34132.765888986287</v>
      </c>
      <c r="K127" s="429">
        <f>(Table10[[#This Row],[6=1+...+5]]-Table10[[#This Row],[2]])*15%</f>
        <v>34052.231229895377</v>
      </c>
      <c r="L127" s="429">
        <f>Table10[[#This Row],[6=1+...+5]]+Table10[[#This Row],[7=6*15%]]</f>
        <v>261684.53848222824</v>
      </c>
      <c r="M127" s="464">
        <f t="shared" si="16"/>
        <v>261067.10609586458</v>
      </c>
      <c r="N127" s="187"/>
    </row>
    <row r="128" spans="1:14" ht="15.75" x14ac:dyDescent="0.25">
      <c r="A128" s="82" t="s">
        <v>138</v>
      </c>
      <c r="B128" s="55" t="s">
        <v>42</v>
      </c>
      <c r="C128" s="5"/>
      <c r="D128" s="467"/>
      <c r="E128" s="467"/>
      <c r="F128" s="467"/>
      <c r="G128" s="462"/>
      <c r="H128" s="467"/>
      <c r="I128" s="467"/>
      <c r="J128" s="467"/>
      <c r="K128" s="467"/>
      <c r="L128" s="467"/>
      <c r="M128" s="468"/>
      <c r="N128" s="187"/>
    </row>
    <row r="129" spans="1:14" ht="15.75" x14ac:dyDescent="0.25">
      <c r="A129" s="79" t="s">
        <v>139</v>
      </c>
      <c r="B129" s="37" t="s">
        <v>43</v>
      </c>
      <c r="C129" s="5" t="s">
        <v>589</v>
      </c>
      <c r="D129" s="429">
        <f>NHANCONG!G115</f>
        <v>8493</v>
      </c>
      <c r="E129" s="429">
        <f>THIETBI!I149</f>
        <v>136.36363636363637</v>
      </c>
      <c r="F129" s="429">
        <f>DUNGCU!H167</f>
        <v>59.614836538461546</v>
      </c>
      <c r="G129" s="429">
        <f>VATLIEU!F167</f>
        <v>9542.0399999999991</v>
      </c>
      <c r="H129" s="429">
        <f>DIENNANG!F141</f>
        <v>197.47324800000001</v>
      </c>
      <c r="I129" s="429">
        <f>SUM(Table10[[#This Row],[1]:[5]])</f>
        <v>18428.491720902097</v>
      </c>
      <c r="J129" s="429">
        <f>Table10[[#This Row],[6=1+...+5]]*15%</f>
        <v>2764.2737581353144</v>
      </c>
      <c r="K129" s="429">
        <f>(Table10[[#This Row],[6=1+...+5]]-Table10[[#This Row],[2]])*15%</f>
        <v>2743.8192126807689</v>
      </c>
      <c r="L129" s="429">
        <f>Table10[[#This Row],[6=1+...+5]]+Table10[[#This Row],[7=6*15%]]</f>
        <v>21192.765479037411</v>
      </c>
      <c r="M129" s="464">
        <f t="shared" ref="M129:M130" si="30">I129-E129+K129</f>
        <v>21035.947297219231</v>
      </c>
      <c r="N129" s="187"/>
    </row>
    <row r="130" spans="1:14" ht="31.5" x14ac:dyDescent="0.25">
      <c r="A130" s="79" t="s">
        <v>140</v>
      </c>
      <c r="B130" s="37" t="s">
        <v>44</v>
      </c>
      <c r="C130" s="5" t="s">
        <v>587</v>
      </c>
      <c r="D130" s="429">
        <f>NHANCONG!G116</f>
        <v>16561.400000000001</v>
      </c>
      <c r="E130" s="429">
        <f>THIETBI!I152</f>
        <v>123.53565818181816</v>
      </c>
      <c r="F130" s="429">
        <f>DUNGCU!H174</f>
        <v>73.993382692307691</v>
      </c>
      <c r="G130" s="429">
        <f>VATLIEU!F171</f>
        <v>0</v>
      </c>
      <c r="H130" s="429">
        <f>DIENNANG!F148</f>
        <v>334.13879520000006</v>
      </c>
      <c r="I130" s="429">
        <f>SUM(Table10[[#This Row],[1]:[5]])</f>
        <v>17093.067836074129</v>
      </c>
      <c r="J130" s="429">
        <f>Table10[[#This Row],[6=1+...+5]]*15%</f>
        <v>2563.9601754111195</v>
      </c>
      <c r="K130" s="429">
        <f>(Table10[[#This Row],[6=1+...+5]]-Table10[[#This Row],[2]])*15%</f>
        <v>2545.4298266838464</v>
      </c>
      <c r="L130" s="429">
        <f>Table10[[#This Row],[6=1+...+5]]+Table10[[#This Row],[7=6*15%]]</f>
        <v>19657.02801148525</v>
      </c>
      <c r="M130" s="464">
        <f t="shared" si="30"/>
        <v>19514.962004576155</v>
      </c>
      <c r="N130" s="187"/>
    </row>
    <row r="131" spans="1:14" ht="51" x14ac:dyDescent="0.25">
      <c r="A131" s="79" t="s">
        <v>141</v>
      </c>
      <c r="B131" s="37" t="s">
        <v>45</v>
      </c>
      <c r="C131" s="5"/>
      <c r="D131" s="430"/>
      <c r="E131" s="430"/>
      <c r="F131" s="430"/>
      <c r="G131" s="429"/>
      <c r="H131" s="430"/>
      <c r="I131" s="430"/>
      <c r="J131" s="430"/>
      <c r="K131" s="430"/>
      <c r="L131" s="430"/>
      <c r="M131" s="430"/>
      <c r="N131" s="42" t="s">
        <v>445</v>
      </c>
    </row>
    <row r="132" spans="1:14" ht="15.75" x14ac:dyDescent="0.25">
      <c r="A132" s="232" t="s">
        <v>228</v>
      </c>
      <c r="B132" s="278" t="s">
        <v>413</v>
      </c>
      <c r="C132" s="5"/>
      <c r="D132" s="429"/>
      <c r="E132" s="429"/>
      <c r="F132" s="429"/>
      <c r="G132" s="429"/>
      <c r="H132" s="429"/>
      <c r="I132" s="429"/>
      <c r="J132" s="429"/>
      <c r="K132" s="429"/>
      <c r="L132" s="429"/>
      <c r="M132" s="464"/>
      <c r="N132" s="224"/>
    </row>
    <row r="133" spans="1:14" ht="15.75" x14ac:dyDescent="0.25">
      <c r="A133" s="159" t="s">
        <v>89</v>
      </c>
      <c r="B133" s="48" t="s">
        <v>224</v>
      </c>
      <c r="C133" s="5" t="s">
        <v>411</v>
      </c>
      <c r="D133" s="429">
        <f>NHANCONG!G119</f>
        <v>468.64373999999998</v>
      </c>
      <c r="E133" s="429">
        <f>THIETBI!I158</f>
        <v>13.405090909090911</v>
      </c>
      <c r="F133" s="429">
        <v>0</v>
      </c>
      <c r="G133" s="429">
        <v>0</v>
      </c>
      <c r="H133" s="429">
        <v>0</v>
      </c>
      <c r="I133" s="429">
        <f>SUM(Table10[[#This Row],[1]:[5]])</f>
        <v>482.0488309090909</v>
      </c>
      <c r="J133" s="429">
        <f>Table10[[#This Row],[6=1+...+5]]*15%</f>
        <v>72.307324636363631</v>
      </c>
      <c r="K133" s="429">
        <f>(Table10[[#This Row],[6=1+...+5]]-Table10[[#This Row],[2]])*15%</f>
        <v>70.296560999999997</v>
      </c>
      <c r="L133" s="429">
        <f>Table10[[#This Row],[6=1+...+5]]+Table10[[#This Row],[7=6*15%]]</f>
        <v>554.3561555454545</v>
      </c>
      <c r="M133" s="464">
        <f t="shared" ref="M133:M140" si="31">I133-E133+K133</f>
        <v>538.94030099999998</v>
      </c>
      <c r="N133" s="187"/>
    </row>
    <row r="134" spans="1:14" ht="15.75" x14ac:dyDescent="0.25">
      <c r="A134" s="159" t="s">
        <v>89</v>
      </c>
      <c r="B134" s="48" t="s">
        <v>232</v>
      </c>
      <c r="C134" s="5" t="s">
        <v>411</v>
      </c>
      <c r="D134" s="429">
        <f>NHANCONG!G120</f>
        <v>831.46469999999999</v>
      </c>
      <c r="E134" s="429">
        <f>THIETBI!I159</f>
        <v>223.41818181818181</v>
      </c>
      <c r="F134" s="429">
        <v>0</v>
      </c>
      <c r="G134" s="429">
        <v>0</v>
      </c>
      <c r="H134" s="429">
        <v>0</v>
      </c>
      <c r="I134" s="429">
        <f>SUM(Table10[[#This Row],[1]:[5]])</f>
        <v>1054.8828818181819</v>
      </c>
      <c r="J134" s="429">
        <f>Table10[[#This Row],[6=1+...+5]]*15%</f>
        <v>158.23243227272727</v>
      </c>
      <c r="K134" s="429">
        <f>(Table10[[#This Row],[6=1+...+5]]-Table10[[#This Row],[2]])*15%</f>
        <v>124.719705</v>
      </c>
      <c r="L134" s="429">
        <f>Table10[[#This Row],[6=1+...+5]]+Table10[[#This Row],[7=6*15%]]</f>
        <v>1213.1153140909091</v>
      </c>
      <c r="M134" s="464">
        <f t="shared" si="31"/>
        <v>956.18440500000008</v>
      </c>
      <c r="N134" s="187"/>
    </row>
    <row r="135" spans="1:14" ht="15.75" x14ac:dyDescent="0.25">
      <c r="A135" s="159" t="s">
        <v>89</v>
      </c>
      <c r="B135" s="48" t="s">
        <v>225</v>
      </c>
      <c r="C135" s="5" t="s">
        <v>411</v>
      </c>
      <c r="D135" s="429">
        <f>NHANCONG!G121</f>
        <v>8571.6451799999995</v>
      </c>
      <c r="E135" s="429">
        <f>THIETBI!I160</f>
        <v>13.405090909090911</v>
      </c>
      <c r="F135" s="429">
        <v>0</v>
      </c>
      <c r="G135" s="429">
        <v>0</v>
      </c>
      <c r="H135" s="429">
        <v>0</v>
      </c>
      <c r="I135" s="429">
        <f>SUM(Table10[[#This Row],[1]:[5]])</f>
        <v>8585.0502709090906</v>
      </c>
      <c r="J135" s="429">
        <f>Table10[[#This Row],[6=1+...+5]]*15%</f>
        <v>1287.7575406363635</v>
      </c>
      <c r="K135" s="429">
        <f>(Table10[[#This Row],[6=1+...+5]]-Table10[[#This Row],[2]])*15%</f>
        <v>1285.7467769999998</v>
      </c>
      <c r="L135" s="429">
        <f>Table10[[#This Row],[6=1+...+5]]+Table10[[#This Row],[7=6*15%]]</f>
        <v>9872.8078115454537</v>
      </c>
      <c r="M135" s="464">
        <f t="shared" si="31"/>
        <v>9857.3919569999998</v>
      </c>
      <c r="N135" s="187"/>
    </row>
    <row r="136" spans="1:14" ht="15.75" x14ac:dyDescent="0.25">
      <c r="A136" s="159" t="s">
        <v>89</v>
      </c>
      <c r="B136" s="48" t="s">
        <v>233</v>
      </c>
      <c r="C136" s="5" t="s">
        <v>411</v>
      </c>
      <c r="D136" s="429">
        <f>NHANCONG!G122</f>
        <v>10128.7518</v>
      </c>
      <c r="E136" s="429">
        <f>THIETBI!I161</f>
        <v>223.41818181818181</v>
      </c>
      <c r="F136" s="429">
        <v>0</v>
      </c>
      <c r="G136" s="429">
        <v>0</v>
      </c>
      <c r="H136" s="429">
        <v>0</v>
      </c>
      <c r="I136" s="429">
        <f>SUM(Table10[[#This Row],[1]:[5]])</f>
        <v>10352.169981818182</v>
      </c>
      <c r="J136" s="429">
        <f>Table10[[#This Row],[6=1+...+5]]*15%</f>
        <v>1552.8254972727273</v>
      </c>
      <c r="K136" s="429">
        <f>(Table10[[#This Row],[6=1+...+5]]-Table10[[#This Row],[2]])*15%</f>
        <v>1519.31277</v>
      </c>
      <c r="L136" s="429">
        <f>Table10[[#This Row],[6=1+...+5]]+Table10[[#This Row],[7=6*15%]]</f>
        <v>11904.995479090911</v>
      </c>
      <c r="M136" s="464">
        <f t="shared" si="31"/>
        <v>11648.06457</v>
      </c>
      <c r="N136" s="187"/>
    </row>
    <row r="137" spans="1:14" ht="31.5" x14ac:dyDescent="0.25">
      <c r="A137" s="159" t="s">
        <v>89</v>
      </c>
      <c r="B137" s="48" t="s">
        <v>226</v>
      </c>
      <c r="C137" s="5" t="s">
        <v>411</v>
      </c>
      <c r="D137" s="429">
        <f>NHANCONG!G123</f>
        <v>136.05786000000001</v>
      </c>
      <c r="E137" s="429">
        <f>THIETBI!I162</f>
        <v>13.405090909090911</v>
      </c>
      <c r="F137" s="429">
        <v>0</v>
      </c>
      <c r="G137" s="429">
        <v>0</v>
      </c>
      <c r="H137" s="429">
        <v>0</v>
      </c>
      <c r="I137" s="429">
        <f>SUM(Table10[[#This Row],[1]:[5]])</f>
        <v>149.46295090909092</v>
      </c>
      <c r="J137" s="429">
        <f>Table10[[#This Row],[6=1+...+5]]*15%</f>
        <v>22.419442636363637</v>
      </c>
      <c r="K137" s="429">
        <f>(Table10[[#This Row],[6=1+...+5]]-Table10[[#This Row],[2]])*15%</f>
        <v>20.408678999999999</v>
      </c>
      <c r="L137" s="429">
        <f>Table10[[#This Row],[6=1+...+5]]+Table10[[#This Row],[7=6*15%]]</f>
        <v>171.88239354545456</v>
      </c>
      <c r="M137" s="464">
        <f t="shared" si="31"/>
        <v>156.46653900000001</v>
      </c>
      <c r="N137" s="187"/>
    </row>
    <row r="138" spans="1:14" ht="31.5" x14ac:dyDescent="0.25">
      <c r="A138" s="159" t="s">
        <v>89</v>
      </c>
      <c r="B138" s="48" t="s">
        <v>234</v>
      </c>
      <c r="C138" s="5" t="s">
        <v>411</v>
      </c>
      <c r="D138" s="429">
        <f>NHANCONG!G124</f>
        <v>226.76309999999998</v>
      </c>
      <c r="E138" s="429">
        <f>THIETBI!I163</f>
        <v>58.088727272727262</v>
      </c>
      <c r="F138" s="429">
        <v>0</v>
      </c>
      <c r="G138" s="429">
        <v>0</v>
      </c>
      <c r="H138" s="429">
        <v>0</v>
      </c>
      <c r="I138" s="429">
        <f>SUM(Table10[[#This Row],[1]:[5]])</f>
        <v>284.85182727272723</v>
      </c>
      <c r="J138" s="429">
        <f>Table10[[#This Row],[6=1+...+5]]*15%</f>
        <v>42.727774090909087</v>
      </c>
      <c r="K138" s="429">
        <f>(Table10[[#This Row],[6=1+...+5]]-Table10[[#This Row],[2]])*15%</f>
        <v>34.014464999999994</v>
      </c>
      <c r="L138" s="429">
        <f>Table10[[#This Row],[6=1+...+5]]+Table10[[#This Row],[7=6*15%]]</f>
        <v>327.5796013636363</v>
      </c>
      <c r="M138" s="464">
        <f t="shared" si="31"/>
        <v>260.77756499999998</v>
      </c>
      <c r="N138" s="187"/>
    </row>
    <row r="139" spans="1:14" ht="15.75" x14ac:dyDescent="0.25">
      <c r="A139" s="159" t="s">
        <v>89</v>
      </c>
      <c r="B139" s="48" t="s">
        <v>227</v>
      </c>
      <c r="C139" s="5" t="s">
        <v>411</v>
      </c>
      <c r="D139" s="429">
        <f>NHANCONG!G125</f>
        <v>2161.8082199999999</v>
      </c>
      <c r="E139" s="429">
        <f>THIETBI!I164</f>
        <v>13.405090909090911</v>
      </c>
      <c r="F139" s="429">
        <v>0</v>
      </c>
      <c r="G139" s="429">
        <v>0</v>
      </c>
      <c r="H139" s="429">
        <v>0</v>
      </c>
      <c r="I139" s="429">
        <f>SUM(Table10[[#This Row],[1]:[5]])</f>
        <v>2175.213310909091</v>
      </c>
      <c r="J139" s="429">
        <f>Table10[[#This Row],[6=1+...+5]]*15%</f>
        <v>326.28199663636366</v>
      </c>
      <c r="K139" s="429">
        <f>(Table10[[#This Row],[6=1+...+5]]-Table10[[#This Row],[2]])*15%</f>
        <v>324.271233</v>
      </c>
      <c r="L139" s="429">
        <f>Table10[[#This Row],[6=1+...+5]]+Table10[[#This Row],[7=6*15%]]</f>
        <v>2501.4953075454546</v>
      </c>
      <c r="M139" s="464">
        <f t="shared" si="31"/>
        <v>2486.0794529999998</v>
      </c>
      <c r="N139" s="187"/>
    </row>
    <row r="140" spans="1:14" ht="15.75" x14ac:dyDescent="0.25">
      <c r="A140" s="159" t="s">
        <v>89</v>
      </c>
      <c r="B140" s="48" t="s">
        <v>227</v>
      </c>
      <c r="C140" s="5" t="s">
        <v>411</v>
      </c>
      <c r="D140" s="429">
        <f>NHANCONG!G126</f>
        <v>2569.9818</v>
      </c>
      <c r="E140" s="429">
        <f>THIETBI!I165</f>
        <v>58.088727272727262</v>
      </c>
      <c r="F140" s="429">
        <v>0</v>
      </c>
      <c r="G140" s="429">
        <v>0</v>
      </c>
      <c r="H140" s="429">
        <v>0</v>
      </c>
      <c r="I140" s="429">
        <f>SUM(Table10[[#This Row],[1]:[5]])</f>
        <v>2628.0705272727273</v>
      </c>
      <c r="J140" s="429">
        <f>Table10[[#This Row],[6=1+...+5]]*15%</f>
        <v>394.21057909090911</v>
      </c>
      <c r="K140" s="429">
        <f>(Table10[[#This Row],[6=1+...+5]]-Table10[[#This Row],[2]])*15%</f>
        <v>385.49727000000001</v>
      </c>
      <c r="L140" s="429">
        <f>Table10[[#This Row],[6=1+...+5]]+Table10[[#This Row],[7=6*15%]]</f>
        <v>3022.2811063636364</v>
      </c>
      <c r="M140" s="464">
        <f t="shared" si="31"/>
        <v>2955.4790699999999</v>
      </c>
      <c r="N140" s="187"/>
    </row>
    <row r="141" spans="1:14" ht="15.75" x14ac:dyDescent="0.25">
      <c r="A141" s="232" t="s">
        <v>229</v>
      </c>
      <c r="B141" s="278" t="s">
        <v>414</v>
      </c>
      <c r="C141" s="5"/>
      <c r="D141" s="429"/>
      <c r="E141" s="429"/>
      <c r="F141" s="429"/>
      <c r="G141" s="429"/>
      <c r="H141" s="429"/>
      <c r="I141" s="429"/>
      <c r="J141" s="429"/>
      <c r="K141" s="429"/>
      <c r="L141" s="429"/>
      <c r="M141" s="464"/>
      <c r="N141" s="224"/>
    </row>
    <row r="142" spans="1:14" ht="15.75" x14ac:dyDescent="0.25">
      <c r="A142" s="159" t="s">
        <v>89</v>
      </c>
      <c r="B142" s="48" t="s">
        <v>224</v>
      </c>
      <c r="C142" s="5" t="s">
        <v>411</v>
      </c>
      <c r="D142" s="429">
        <f>NHANCONG!G128</f>
        <v>585.80467499999997</v>
      </c>
      <c r="E142" s="429">
        <f>THIETBI!I167</f>
        <v>16.854545454545455</v>
      </c>
      <c r="F142" s="429">
        <v>0</v>
      </c>
      <c r="G142" s="429">
        <v>0</v>
      </c>
      <c r="H142" s="429">
        <v>0</v>
      </c>
      <c r="I142" s="429">
        <f>SUM(Table10[[#This Row],[1]:[5]])</f>
        <v>602.65922045454545</v>
      </c>
      <c r="J142" s="429">
        <f>Table10[[#This Row],[6=1+...+5]]*15%</f>
        <v>90.398883068181817</v>
      </c>
      <c r="K142" s="429">
        <f>(Table10[[#This Row],[6=1+...+5]]-Table10[[#This Row],[2]])*15%</f>
        <v>87.870701249999996</v>
      </c>
      <c r="L142" s="429">
        <f>Table10[[#This Row],[6=1+...+5]]+Table10[[#This Row],[7=6*15%]]</f>
        <v>693.05810352272727</v>
      </c>
      <c r="M142" s="464">
        <f t="shared" ref="M142:M149" si="32">I142-E142+K142</f>
        <v>673.67537625</v>
      </c>
      <c r="N142" s="187"/>
    </row>
    <row r="143" spans="1:14" ht="15.75" x14ac:dyDescent="0.25">
      <c r="A143" s="159" t="s">
        <v>89</v>
      </c>
      <c r="B143" s="48" t="s">
        <v>232</v>
      </c>
      <c r="C143" s="5" t="s">
        <v>411</v>
      </c>
      <c r="D143" s="429">
        <f>NHANCONG!G129</f>
        <v>1039.3308749999999</v>
      </c>
      <c r="E143" s="429">
        <f>THIETBI!I168</f>
        <v>280.90909090909088</v>
      </c>
      <c r="F143" s="429">
        <v>0</v>
      </c>
      <c r="G143" s="429">
        <v>0</v>
      </c>
      <c r="H143" s="429">
        <v>0</v>
      </c>
      <c r="I143" s="429">
        <f>SUM(Table10[[#This Row],[1]:[5]])</f>
        <v>1320.2399659090906</v>
      </c>
      <c r="J143" s="429">
        <f>Table10[[#This Row],[6=1+...+5]]*15%</f>
        <v>198.0359948863636</v>
      </c>
      <c r="K143" s="429">
        <f>(Table10[[#This Row],[6=1+...+5]]-Table10[[#This Row],[2]])*15%</f>
        <v>155.89963124999994</v>
      </c>
      <c r="L143" s="429">
        <f>Table10[[#This Row],[6=1+...+5]]+Table10[[#This Row],[7=6*15%]]</f>
        <v>1518.2759607954542</v>
      </c>
      <c r="M143" s="464">
        <f t="shared" si="32"/>
        <v>1195.2305062499995</v>
      </c>
      <c r="N143" s="187"/>
    </row>
    <row r="144" spans="1:14" ht="15.75" x14ac:dyDescent="0.25">
      <c r="A144" s="159" t="s">
        <v>89</v>
      </c>
      <c r="B144" s="48" t="s">
        <v>225</v>
      </c>
      <c r="C144" s="5" t="s">
        <v>411</v>
      </c>
      <c r="D144" s="429">
        <f>NHANCONG!G130</f>
        <v>10714.556474999999</v>
      </c>
      <c r="E144" s="429">
        <f>THIETBI!I169</f>
        <v>16.854545454545455</v>
      </c>
      <c r="F144" s="429">
        <v>0</v>
      </c>
      <c r="G144" s="429">
        <v>0</v>
      </c>
      <c r="H144" s="429">
        <v>0</v>
      </c>
      <c r="I144" s="429">
        <f>SUM(Table10[[#This Row],[1]:[5]])</f>
        <v>10731.411020454545</v>
      </c>
      <c r="J144" s="429">
        <f>Table10[[#This Row],[6=1+...+5]]*15%</f>
        <v>1609.7116530681817</v>
      </c>
      <c r="K144" s="429">
        <f>(Table10[[#This Row],[6=1+...+5]]-Table10[[#This Row],[2]])*15%</f>
        <v>1607.1834712499999</v>
      </c>
      <c r="L144" s="429">
        <f>Table10[[#This Row],[6=1+...+5]]+Table10[[#This Row],[7=6*15%]]</f>
        <v>12341.122673522726</v>
      </c>
      <c r="M144" s="464">
        <f t="shared" si="32"/>
        <v>12321.73994625</v>
      </c>
      <c r="N144" s="187"/>
    </row>
    <row r="145" spans="1:14" ht="15.75" x14ac:dyDescent="0.25">
      <c r="A145" s="159" t="s">
        <v>89</v>
      </c>
      <c r="B145" s="48" t="s">
        <v>233</v>
      </c>
      <c r="C145" s="5" t="s">
        <v>411</v>
      </c>
      <c r="D145" s="429">
        <f>NHANCONG!G131</f>
        <v>12660.939750000001</v>
      </c>
      <c r="E145" s="429">
        <f>THIETBI!I170</f>
        <v>280.90909090909088</v>
      </c>
      <c r="F145" s="429">
        <v>0</v>
      </c>
      <c r="G145" s="429">
        <v>0</v>
      </c>
      <c r="H145" s="429">
        <v>0</v>
      </c>
      <c r="I145" s="429">
        <f>SUM(Table10[[#This Row],[1]:[5]])</f>
        <v>12941.848840909091</v>
      </c>
      <c r="J145" s="429">
        <f>Table10[[#This Row],[6=1+...+5]]*15%</f>
        <v>1941.2773261363636</v>
      </c>
      <c r="K145" s="429">
        <f>(Table10[[#This Row],[6=1+...+5]]-Table10[[#This Row],[2]])*15%</f>
        <v>1899.1409625000001</v>
      </c>
      <c r="L145" s="429">
        <f>Table10[[#This Row],[6=1+...+5]]+Table10[[#This Row],[7=6*15%]]</f>
        <v>14883.126167045455</v>
      </c>
      <c r="M145" s="464">
        <f t="shared" si="32"/>
        <v>14560.080712500001</v>
      </c>
      <c r="N145" s="187"/>
    </row>
    <row r="146" spans="1:14" ht="31.5" x14ac:dyDescent="0.25">
      <c r="A146" s="159" t="s">
        <v>89</v>
      </c>
      <c r="B146" s="48" t="s">
        <v>226</v>
      </c>
      <c r="C146" s="5" t="s">
        <v>411</v>
      </c>
      <c r="D146" s="429">
        <f>NHANCONG!G132</f>
        <v>170.07232500000001</v>
      </c>
      <c r="E146" s="429">
        <f>THIETBI!I171</f>
        <v>16.854545454545455</v>
      </c>
      <c r="F146" s="429">
        <v>0</v>
      </c>
      <c r="G146" s="429">
        <v>0</v>
      </c>
      <c r="H146" s="429">
        <v>0</v>
      </c>
      <c r="I146" s="429">
        <f>SUM(Table10[[#This Row],[1]:[5]])</f>
        <v>186.92687045454545</v>
      </c>
      <c r="J146" s="429">
        <f>Table10[[#This Row],[6=1+...+5]]*15%</f>
        <v>28.039030568181818</v>
      </c>
      <c r="K146" s="429">
        <f>(Table10[[#This Row],[6=1+...+5]]-Table10[[#This Row],[2]])*15%</f>
        <v>25.510848750000001</v>
      </c>
      <c r="L146" s="429">
        <f>Table10[[#This Row],[6=1+...+5]]+Table10[[#This Row],[7=6*15%]]</f>
        <v>214.96590102272728</v>
      </c>
      <c r="M146" s="464">
        <f t="shared" si="32"/>
        <v>195.58317375000001</v>
      </c>
      <c r="N146" s="187"/>
    </row>
    <row r="147" spans="1:14" ht="31.5" x14ac:dyDescent="0.25">
      <c r="A147" s="159" t="s">
        <v>89</v>
      </c>
      <c r="B147" s="48" t="s">
        <v>234</v>
      </c>
      <c r="C147" s="5" t="s">
        <v>411</v>
      </c>
      <c r="D147" s="429">
        <f>NHANCONG!G133</f>
        <v>283.45387499999998</v>
      </c>
      <c r="E147" s="429">
        <f>THIETBI!I172</f>
        <v>73.036363636363618</v>
      </c>
      <c r="F147" s="429">
        <v>0</v>
      </c>
      <c r="G147" s="429">
        <v>0</v>
      </c>
      <c r="H147" s="429">
        <v>0</v>
      </c>
      <c r="I147" s="429">
        <f>SUM(Table10[[#This Row],[1]:[5]])</f>
        <v>356.49023863636359</v>
      </c>
      <c r="J147" s="429">
        <f>Table10[[#This Row],[6=1+...+5]]*15%</f>
        <v>53.473535795454538</v>
      </c>
      <c r="K147" s="429">
        <f>(Table10[[#This Row],[6=1+...+5]]-Table10[[#This Row],[2]])*15%</f>
        <v>42.518081249999994</v>
      </c>
      <c r="L147" s="429">
        <f>Table10[[#This Row],[6=1+...+5]]+Table10[[#This Row],[7=6*15%]]</f>
        <v>409.96377443181814</v>
      </c>
      <c r="M147" s="464">
        <f t="shared" si="32"/>
        <v>325.97195624999995</v>
      </c>
      <c r="N147" s="187"/>
    </row>
    <row r="148" spans="1:14" ht="15.75" x14ac:dyDescent="0.25">
      <c r="A148" s="159" t="s">
        <v>89</v>
      </c>
      <c r="B148" s="48" t="s">
        <v>227</v>
      </c>
      <c r="C148" s="5" t="s">
        <v>411</v>
      </c>
      <c r="D148" s="429">
        <f>NHANCONG!G134</f>
        <v>2702.2602750000001</v>
      </c>
      <c r="E148" s="429">
        <f>THIETBI!I173</f>
        <v>16.854545454545455</v>
      </c>
      <c r="F148" s="429">
        <v>0</v>
      </c>
      <c r="G148" s="429">
        <v>0</v>
      </c>
      <c r="H148" s="429">
        <v>0</v>
      </c>
      <c r="I148" s="429">
        <f>SUM(Table10[[#This Row],[1]:[5]])</f>
        <v>2719.1148204545457</v>
      </c>
      <c r="J148" s="429">
        <f>Table10[[#This Row],[6=1+...+5]]*15%</f>
        <v>407.86722306818183</v>
      </c>
      <c r="K148" s="429">
        <f>(Table10[[#This Row],[6=1+...+5]]-Table10[[#This Row],[2]])*15%</f>
        <v>405.33904124999998</v>
      </c>
      <c r="L148" s="429">
        <f>Table10[[#This Row],[6=1+...+5]]+Table10[[#This Row],[7=6*15%]]</f>
        <v>3126.9820435227275</v>
      </c>
      <c r="M148" s="464">
        <f t="shared" si="32"/>
        <v>3107.5993162499999</v>
      </c>
      <c r="N148" s="187"/>
    </row>
    <row r="149" spans="1:14" ht="15.75" x14ac:dyDescent="0.25">
      <c r="A149" s="159" t="s">
        <v>89</v>
      </c>
      <c r="B149" s="48" t="s">
        <v>227</v>
      </c>
      <c r="C149" s="5" t="s">
        <v>411</v>
      </c>
      <c r="D149" s="429">
        <f>NHANCONG!G135</f>
        <v>3212.4772500000004</v>
      </c>
      <c r="E149" s="429">
        <f>THIETBI!I174</f>
        <v>73.036363636363618</v>
      </c>
      <c r="F149" s="429">
        <v>0</v>
      </c>
      <c r="G149" s="429">
        <v>0</v>
      </c>
      <c r="H149" s="429">
        <v>0</v>
      </c>
      <c r="I149" s="429">
        <f>SUM(Table10[[#This Row],[1]:[5]])</f>
        <v>3285.513613636364</v>
      </c>
      <c r="J149" s="429">
        <f>Table10[[#This Row],[6=1+...+5]]*15%</f>
        <v>492.82704204545456</v>
      </c>
      <c r="K149" s="429">
        <f>(Table10[[#This Row],[6=1+...+5]]-Table10[[#This Row],[2]])*15%</f>
        <v>481.87158750000003</v>
      </c>
      <c r="L149" s="429">
        <f>Table10[[#This Row],[6=1+...+5]]+Table10[[#This Row],[7=6*15%]]</f>
        <v>3778.3406556818186</v>
      </c>
      <c r="M149" s="464">
        <f t="shared" si="32"/>
        <v>3694.3488375000006</v>
      </c>
      <c r="N149" s="187"/>
    </row>
    <row r="150" spans="1:14" ht="15.75" x14ac:dyDescent="0.25">
      <c r="A150" s="232" t="s">
        <v>230</v>
      </c>
      <c r="B150" s="278" t="s">
        <v>415</v>
      </c>
      <c r="C150" s="5"/>
      <c r="D150" s="429"/>
      <c r="E150" s="429"/>
      <c r="F150" s="429"/>
      <c r="G150" s="429"/>
      <c r="H150" s="429"/>
      <c r="I150" s="429"/>
      <c r="J150" s="429"/>
      <c r="K150" s="429"/>
      <c r="L150" s="429"/>
      <c r="M150" s="464"/>
      <c r="N150" s="224"/>
    </row>
    <row r="151" spans="1:14" ht="15.75" x14ac:dyDescent="0.25">
      <c r="A151" s="159" t="s">
        <v>89</v>
      </c>
      <c r="B151" s="48" t="s">
        <v>224</v>
      </c>
      <c r="C151" s="5" t="s">
        <v>411</v>
      </c>
      <c r="D151" s="429">
        <f>NHANCONG!G137</f>
        <v>761.54607749999991</v>
      </c>
      <c r="E151" s="429">
        <f>THIETBI!I176</f>
        <v>22.102363636363638</v>
      </c>
      <c r="F151" s="429">
        <v>0</v>
      </c>
      <c r="G151" s="429">
        <v>0</v>
      </c>
      <c r="H151" s="429">
        <v>0</v>
      </c>
      <c r="I151" s="429">
        <f>SUM(Table10[[#This Row],[1]:[5]])</f>
        <v>783.64844113636354</v>
      </c>
      <c r="J151" s="429">
        <f>Table10[[#This Row],[6=1+...+5]]*15%</f>
        <v>117.54726617045452</v>
      </c>
      <c r="K151" s="429">
        <f>(Table10[[#This Row],[6=1+...+5]]-Table10[[#This Row],[2]])*15%</f>
        <v>114.23191162499998</v>
      </c>
      <c r="L151" s="429">
        <f>Table10[[#This Row],[6=1+...+5]]+Table10[[#This Row],[7=6*15%]]</f>
        <v>901.19570730681812</v>
      </c>
      <c r="M151" s="464">
        <f t="shared" ref="M151:M158" si="33">I151-E151+K151</f>
        <v>875.77798912499986</v>
      </c>
      <c r="N151" s="187"/>
    </row>
    <row r="152" spans="1:14" ht="15.75" x14ac:dyDescent="0.25">
      <c r="A152" s="159" t="s">
        <v>89</v>
      </c>
      <c r="B152" s="48" t="s">
        <v>232</v>
      </c>
      <c r="C152" s="5" t="s">
        <v>411</v>
      </c>
      <c r="D152" s="429">
        <f>NHANCONG!G138</f>
        <v>1351.1301375</v>
      </c>
      <c r="E152" s="429">
        <f>THIETBI!I177</f>
        <v>368.37272727272722</v>
      </c>
      <c r="F152" s="429">
        <v>0</v>
      </c>
      <c r="G152" s="429">
        <v>0</v>
      </c>
      <c r="H152" s="429">
        <v>0</v>
      </c>
      <c r="I152" s="429">
        <f>SUM(Table10[[#This Row],[1]:[5]])</f>
        <v>1719.5028647727272</v>
      </c>
      <c r="J152" s="429">
        <f>Table10[[#This Row],[6=1+...+5]]*15%</f>
        <v>257.92542971590905</v>
      </c>
      <c r="K152" s="429">
        <f>(Table10[[#This Row],[6=1+...+5]]-Table10[[#This Row],[2]])*15%</f>
        <v>202.66952062499999</v>
      </c>
      <c r="L152" s="429">
        <f>Table10[[#This Row],[6=1+...+5]]+Table10[[#This Row],[7=6*15%]]</f>
        <v>1977.4282944886363</v>
      </c>
      <c r="M152" s="464">
        <f t="shared" si="33"/>
        <v>1553.799658125</v>
      </c>
      <c r="N152" s="187"/>
    </row>
    <row r="153" spans="1:14" ht="15.75" x14ac:dyDescent="0.25">
      <c r="A153" s="159" t="s">
        <v>89</v>
      </c>
      <c r="B153" s="48" t="s">
        <v>225</v>
      </c>
      <c r="C153" s="5" t="s">
        <v>411</v>
      </c>
      <c r="D153" s="429">
        <f>NHANCONG!G139</f>
        <v>13928.9234175</v>
      </c>
      <c r="E153" s="429">
        <f>THIETBI!I178</f>
        <v>22.102363636363638</v>
      </c>
      <c r="F153" s="429">
        <v>0</v>
      </c>
      <c r="G153" s="429">
        <v>0</v>
      </c>
      <c r="H153" s="429">
        <v>0</v>
      </c>
      <c r="I153" s="429">
        <f>SUM(Table10[[#This Row],[1]:[5]])</f>
        <v>13951.025781136364</v>
      </c>
      <c r="J153" s="429">
        <f>Table10[[#This Row],[6=1+...+5]]*15%</f>
        <v>2092.6538671704548</v>
      </c>
      <c r="K153" s="429">
        <f>(Table10[[#This Row],[6=1+...+5]]-Table10[[#This Row],[2]])*15%</f>
        <v>2089.338512625</v>
      </c>
      <c r="L153" s="429">
        <f>Table10[[#This Row],[6=1+...+5]]+Table10[[#This Row],[7=6*15%]]</f>
        <v>16043.679648306819</v>
      </c>
      <c r="M153" s="464">
        <f t="shared" si="33"/>
        <v>16018.261930125</v>
      </c>
      <c r="N153" s="187"/>
    </row>
    <row r="154" spans="1:14" ht="15.75" x14ac:dyDescent="0.25">
      <c r="A154" s="159" t="s">
        <v>89</v>
      </c>
      <c r="B154" s="48" t="s">
        <v>233</v>
      </c>
      <c r="C154" s="5" t="s">
        <v>411</v>
      </c>
      <c r="D154" s="429">
        <f>NHANCONG!G140</f>
        <v>16459.221675000001</v>
      </c>
      <c r="E154" s="429">
        <f>THIETBI!I179</f>
        <v>368.37272727272722</v>
      </c>
      <c r="F154" s="429">
        <v>0</v>
      </c>
      <c r="G154" s="429">
        <v>0</v>
      </c>
      <c r="H154" s="429">
        <v>0</v>
      </c>
      <c r="I154" s="429">
        <f>SUM(Table10[[#This Row],[1]:[5]])</f>
        <v>16827.594402272727</v>
      </c>
      <c r="J154" s="429">
        <f>Table10[[#This Row],[6=1+...+5]]*15%</f>
        <v>2524.1391603409088</v>
      </c>
      <c r="K154" s="429">
        <f>(Table10[[#This Row],[6=1+...+5]]-Table10[[#This Row],[2]])*15%</f>
        <v>2468.8832512499998</v>
      </c>
      <c r="L154" s="429">
        <f>Table10[[#This Row],[6=1+...+5]]+Table10[[#This Row],[7=6*15%]]</f>
        <v>19351.733562613637</v>
      </c>
      <c r="M154" s="464">
        <f t="shared" si="33"/>
        <v>18928.104926250002</v>
      </c>
      <c r="N154" s="187"/>
    </row>
    <row r="155" spans="1:14" ht="31.5" x14ac:dyDescent="0.25">
      <c r="A155" s="159" t="s">
        <v>89</v>
      </c>
      <c r="B155" s="48" t="s">
        <v>226</v>
      </c>
      <c r="C155" s="5" t="s">
        <v>411</v>
      </c>
      <c r="D155" s="429">
        <f>NHANCONG!G141</f>
        <v>221.09402249999999</v>
      </c>
      <c r="E155" s="429">
        <f>THIETBI!I180</f>
        <v>22.102363636363638</v>
      </c>
      <c r="F155" s="429">
        <v>0</v>
      </c>
      <c r="G155" s="429">
        <v>0</v>
      </c>
      <c r="H155" s="429">
        <v>0</v>
      </c>
      <c r="I155" s="429">
        <f>SUM(Table10[[#This Row],[1]:[5]])</f>
        <v>243.19638613636363</v>
      </c>
      <c r="J155" s="429">
        <f>Table10[[#This Row],[6=1+...+5]]*15%</f>
        <v>36.479457920454543</v>
      </c>
      <c r="K155" s="429">
        <f>(Table10[[#This Row],[6=1+...+5]]-Table10[[#This Row],[2]])*15%</f>
        <v>33.164103374999996</v>
      </c>
      <c r="L155" s="429">
        <f>Table10[[#This Row],[6=1+...+5]]+Table10[[#This Row],[7=6*15%]]</f>
        <v>279.67584405681816</v>
      </c>
      <c r="M155" s="464">
        <f t="shared" si="33"/>
        <v>254.25812587499999</v>
      </c>
      <c r="N155" s="187"/>
    </row>
    <row r="156" spans="1:14" ht="31.5" x14ac:dyDescent="0.25">
      <c r="A156" s="159" t="s">
        <v>89</v>
      </c>
      <c r="B156" s="48" t="s">
        <v>234</v>
      </c>
      <c r="C156" s="5" t="s">
        <v>411</v>
      </c>
      <c r="D156" s="429">
        <f>NHANCONG!G142</f>
        <v>368.49003749999997</v>
      </c>
      <c r="E156" s="429">
        <f>THIETBI!I181</f>
        <v>95.776909090909072</v>
      </c>
      <c r="F156" s="429">
        <v>0</v>
      </c>
      <c r="G156" s="429">
        <v>0</v>
      </c>
      <c r="H156" s="429">
        <v>0</v>
      </c>
      <c r="I156" s="429">
        <f>SUM(Table10[[#This Row],[1]:[5]])</f>
        <v>464.26694659090901</v>
      </c>
      <c r="J156" s="429">
        <f>Table10[[#This Row],[6=1+...+5]]*15%</f>
        <v>69.640041988636355</v>
      </c>
      <c r="K156" s="429">
        <f>(Table10[[#This Row],[6=1+...+5]]-Table10[[#This Row],[2]])*15%</f>
        <v>55.273505624999991</v>
      </c>
      <c r="L156" s="429">
        <f>Table10[[#This Row],[6=1+...+5]]+Table10[[#This Row],[7=6*15%]]</f>
        <v>533.90698857954533</v>
      </c>
      <c r="M156" s="464">
        <f t="shared" si="33"/>
        <v>423.76354312499996</v>
      </c>
      <c r="N156" s="187"/>
    </row>
    <row r="157" spans="1:14" ht="15.75" x14ac:dyDescent="0.25">
      <c r="A157" s="159" t="s">
        <v>89</v>
      </c>
      <c r="B157" s="48" t="s">
        <v>227</v>
      </c>
      <c r="C157" s="5" t="s">
        <v>411</v>
      </c>
      <c r="D157" s="429">
        <f>NHANCONG!G143</f>
        <v>3512.9383574999997</v>
      </c>
      <c r="E157" s="429">
        <f>THIETBI!I182</f>
        <v>22.102363636363638</v>
      </c>
      <c r="F157" s="429">
        <v>0</v>
      </c>
      <c r="G157" s="429">
        <v>0</v>
      </c>
      <c r="H157" s="429">
        <v>0</v>
      </c>
      <c r="I157" s="429">
        <f>SUM(Table10[[#This Row],[1]:[5]])</f>
        <v>3535.0407211363636</v>
      </c>
      <c r="J157" s="429">
        <f>Table10[[#This Row],[6=1+...+5]]*15%</f>
        <v>530.25610817045447</v>
      </c>
      <c r="K157" s="429">
        <f>(Table10[[#This Row],[6=1+...+5]]-Table10[[#This Row],[2]])*15%</f>
        <v>526.94075362499996</v>
      </c>
      <c r="L157" s="429">
        <f>Table10[[#This Row],[6=1+...+5]]+Table10[[#This Row],[7=6*15%]]</f>
        <v>4065.2968293068179</v>
      </c>
      <c r="M157" s="464">
        <f t="shared" si="33"/>
        <v>4039.8791111249998</v>
      </c>
      <c r="N157" s="187"/>
    </row>
    <row r="158" spans="1:14" ht="15.75" x14ac:dyDescent="0.25">
      <c r="A158" s="159" t="s">
        <v>89</v>
      </c>
      <c r="B158" s="48" t="s">
        <v>227</v>
      </c>
      <c r="C158" s="5" t="s">
        <v>411</v>
      </c>
      <c r="D158" s="429">
        <f>NHANCONG!G144</f>
        <v>4176.2204250000004</v>
      </c>
      <c r="E158" s="429">
        <f>THIETBI!I183</f>
        <v>95.776909090909072</v>
      </c>
      <c r="F158" s="429">
        <v>0</v>
      </c>
      <c r="G158" s="429">
        <v>0</v>
      </c>
      <c r="H158" s="429">
        <v>0</v>
      </c>
      <c r="I158" s="429">
        <f>SUM(Table10[[#This Row],[1]:[5]])</f>
        <v>4271.9973340909091</v>
      </c>
      <c r="J158" s="429">
        <f>Table10[[#This Row],[6=1+...+5]]*15%</f>
        <v>640.7996001136363</v>
      </c>
      <c r="K158" s="429">
        <f>(Table10[[#This Row],[6=1+...+5]]-Table10[[#This Row],[2]])*15%</f>
        <v>626.43306375000009</v>
      </c>
      <c r="L158" s="429">
        <f>Table10[[#This Row],[6=1+...+5]]+Table10[[#This Row],[7=6*15%]]</f>
        <v>4912.7969342045453</v>
      </c>
      <c r="M158" s="464">
        <f t="shared" si="33"/>
        <v>4802.6534887500002</v>
      </c>
      <c r="N158" s="187"/>
    </row>
    <row r="159" spans="1:14" ht="15.75" x14ac:dyDescent="0.25">
      <c r="A159" s="79" t="s">
        <v>142</v>
      </c>
      <c r="B159" s="37" t="s">
        <v>46</v>
      </c>
      <c r="C159" s="5" t="s">
        <v>589</v>
      </c>
      <c r="D159" s="429">
        <f>NHANCONG!G145</f>
        <v>3184.875</v>
      </c>
      <c r="E159" s="429">
        <f>THIETBI!I184</f>
        <v>0</v>
      </c>
      <c r="F159" s="429">
        <f>DUNGCU!H181</f>
        <v>388.12215000000003</v>
      </c>
      <c r="G159" s="429">
        <f>VATLIEU!F173</f>
        <v>0</v>
      </c>
      <c r="H159" s="429">
        <f>DIENNANG!F157</f>
        <v>179.45141760000001</v>
      </c>
      <c r="I159" s="429">
        <f>SUM(Table10[[#This Row],[1]:[5]])</f>
        <v>3752.4485676000004</v>
      </c>
      <c r="J159" s="429">
        <f>Table10[[#This Row],[6=1+...+5]]*15%</f>
        <v>562.86728514000004</v>
      </c>
      <c r="K159" s="429">
        <f>(Table10[[#This Row],[6=1+...+5]]-Table10[[#This Row],[2]])*15%</f>
        <v>562.86728514000004</v>
      </c>
      <c r="L159" s="429">
        <f>Table10[[#This Row],[6=1+...+5]]+Table10[[#This Row],[7=6*15%]]</f>
        <v>4315.3158527400001</v>
      </c>
      <c r="M159" s="464"/>
      <c r="N159" s="187"/>
    </row>
    <row r="160" spans="1:14" ht="15.75" x14ac:dyDescent="0.25">
      <c r="A160" s="79" t="s">
        <v>143</v>
      </c>
      <c r="B160" s="37" t="s">
        <v>47</v>
      </c>
      <c r="C160" s="5"/>
      <c r="D160" s="429"/>
      <c r="E160" s="429"/>
      <c r="F160" s="429"/>
      <c r="G160" s="429"/>
      <c r="H160" s="429"/>
      <c r="I160" s="429"/>
      <c r="J160" s="429"/>
      <c r="K160" s="429"/>
      <c r="L160" s="429"/>
      <c r="M160" s="464"/>
      <c r="N160" s="187" t="s">
        <v>54</v>
      </c>
    </row>
    <row r="161" spans="1:14" ht="15.75" x14ac:dyDescent="0.25">
      <c r="A161" s="82" t="s">
        <v>144</v>
      </c>
      <c r="B161" s="55" t="s">
        <v>48</v>
      </c>
      <c r="C161" s="5"/>
      <c r="D161" s="467"/>
      <c r="E161" s="467"/>
      <c r="F161" s="467"/>
      <c r="G161" s="462"/>
      <c r="H161" s="467"/>
      <c r="I161" s="467"/>
      <c r="J161" s="467"/>
      <c r="K161" s="467"/>
      <c r="L161" s="467"/>
      <c r="M161" s="468"/>
      <c r="N161" s="187"/>
    </row>
    <row r="162" spans="1:14" ht="15.75" x14ac:dyDescent="0.25">
      <c r="A162" s="205"/>
      <c r="B162" s="203" t="s">
        <v>272</v>
      </c>
      <c r="C162" s="5"/>
      <c r="D162" s="469"/>
      <c r="E162" s="469"/>
      <c r="F162" s="469"/>
      <c r="G162" s="470"/>
      <c r="H162" s="469"/>
      <c r="I162" s="469"/>
      <c r="J162" s="469"/>
      <c r="K162" s="469"/>
      <c r="L162" s="471"/>
      <c r="M162" s="471"/>
      <c r="N162" s="34" t="s">
        <v>491</v>
      </c>
    </row>
    <row r="163" spans="1:14" ht="15.75" x14ac:dyDescent="0.25">
      <c r="A163" s="79" t="s">
        <v>145</v>
      </c>
      <c r="B163" s="37" t="s">
        <v>48</v>
      </c>
      <c r="C163" s="5" t="s">
        <v>588</v>
      </c>
      <c r="D163" s="429">
        <f>NHANCONG!G149</f>
        <v>78356.376000000004</v>
      </c>
      <c r="E163" s="429">
        <f>THIETBI!I188</f>
        <v>75</v>
      </c>
      <c r="F163" s="429">
        <f>DUNGCU!H192</f>
        <v>2152.2851025641025</v>
      </c>
      <c r="G163" s="429">
        <f>VATLIEU!F177</f>
        <v>4822.6360000000004</v>
      </c>
      <c r="H163" s="429">
        <f>DIENNANG!F164</f>
        <v>1174.2947999999999</v>
      </c>
      <c r="I163" s="429">
        <f>SUM(Table10[[#This Row],[1]:[5]])</f>
        <v>86580.591902564105</v>
      </c>
      <c r="J163" s="429">
        <f>Table10[[#This Row],[6=1+...+5]]*15%</f>
        <v>12987.088785384616</v>
      </c>
      <c r="K163" s="429">
        <f>(Table10[[#This Row],[6=1+...+5]]-Table10[[#This Row],[2]])*15%</f>
        <v>12975.838785384616</v>
      </c>
      <c r="L163" s="429">
        <f>Table10[[#This Row],[6=1+...+5]]+Table10[[#This Row],[7=6*15%]]</f>
        <v>99567.680687948727</v>
      </c>
      <c r="M163" s="464">
        <f t="shared" ref="M163:M164" si="34">I163-E163+K163</f>
        <v>99481.430687948727</v>
      </c>
      <c r="N163" s="187"/>
    </row>
    <row r="164" spans="1:14" ht="15.75" x14ac:dyDescent="0.25">
      <c r="A164" s="79" t="s">
        <v>146</v>
      </c>
      <c r="B164" s="37" t="s">
        <v>49</v>
      </c>
      <c r="C164" s="5" t="s">
        <v>576</v>
      </c>
      <c r="D164" s="429">
        <f>NHANCONG!G150</f>
        <v>32061.100000000002</v>
      </c>
      <c r="E164" s="429">
        <f>THIETBI!I190</f>
        <v>803.40909090909088</v>
      </c>
      <c r="F164" s="429">
        <f>DUNGCU!H205</f>
        <v>258.68297435897438</v>
      </c>
      <c r="G164" s="429">
        <f>VATLIEU!F183</f>
        <v>39381.800000000003</v>
      </c>
      <c r="H164" s="429">
        <f>DIENNANG!F172</f>
        <v>2079.5402880000001</v>
      </c>
      <c r="I164" s="429">
        <f>SUM(Table10[[#This Row],[1]:[5]])</f>
        <v>74584.532353268078</v>
      </c>
      <c r="J164" s="429">
        <f>Table10[[#This Row],[6=1+...+5]]*15%</f>
        <v>11187.679852990212</v>
      </c>
      <c r="K164" s="429">
        <f>(Table10[[#This Row],[6=1+...+5]]-Table10[[#This Row],[2]])*15%</f>
        <v>11067.168489353848</v>
      </c>
      <c r="L164" s="429">
        <f>Table10[[#This Row],[6=1+...+5]]+Table10[[#This Row],[7=6*15%]]</f>
        <v>85772.212206258293</v>
      </c>
      <c r="M164" s="464">
        <f t="shared" si="34"/>
        <v>84848.291751712837</v>
      </c>
      <c r="N164" s="187"/>
    </row>
    <row r="165" spans="1:14" ht="15.75" x14ac:dyDescent="0.25">
      <c r="A165" s="205"/>
      <c r="B165" s="203" t="s">
        <v>273</v>
      </c>
      <c r="C165" s="5"/>
      <c r="D165" s="469"/>
      <c r="E165" s="469"/>
      <c r="F165" s="469"/>
      <c r="G165" s="470"/>
      <c r="H165" s="469"/>
      <c r="I165" s="469"/>
      <c r="J165" s="469"/>
      <c r="K165" s="469"/>
      <c r="L165" s="471"/>
      <c r="M165" s="471"/>
      <c r="N165" s="34" t="s">
        <v>489</v>
      </c>
    </row>
    <row r="166" spans="1:14" ht="15.75" x14ac:dyDescent="0.25">
      <c r="A166" s="79" t="s">
        <v>145</v>
      </c>
      <c r="B166" s="37" t="s">
        <v>48</v>
      </c>
      <c r="C166" s="5" t="s">
        <v>588</v>
      </c>
      <c r="D166" s="429">
        <f>NHANCONG!G152</f>
        <v>94027.651200000008</v>
      </c>
      <c r="E166" s="430">
        <f>THIETBI!I195</f>
        <v>90</v>
      </c>
      <c r="F166" s="430">
        <f>DUNGCU!H212</f>
        <v>2582.7421230769228</v>
      </c>
      <c r="G166" s="429">
        <f>VATLIEU!F187</f>
        <v>5787.1632</v>
      </c>
      <c r="H166" s="430">
        <f>H163</f>
        <v>1174.2947999999999</v>
      </c>
      <c r="I166" s="429">
        <f>SUM(Table10[[#This Row],[1]:[5]])</f>
        <v>103661.85132307693</v>
      </c>
      <c r="J166" s="429">
        <f>Table10[[#This Row],[6=1+...+5]]*15%</f>
        <v>15549.277698461539</v>
      </c>
      <c r="K166" s="429">
        <f>(Table10[[#This Row],[6=1+...+5]]-Table10[[#This Row],[2]])*15%</f>
        <v>15535.777698461539</v>
      </c>
      <c r="L166" s="429">
        <f>Table10[[#This Row],[6=1+...+5]]+Table10[[#This Row],[7=6*15%]]</f>
        <v>119211.12902153847</v>
      </c>
      <c r="M166" s="464">
        <f t="shared" ref="M166:M167" si="35">I166-E166+K166</f>
        <v>119107.62902153847</v>
      </c>
      <c r="N166" s="187"/>
    </row>
    <row r="167" spans="1:14" ht="15.75" x14ac:dyDescent="0.25">
      <c r="A167" s="79" t="s">
        <v>146</v>
      </c>
      <c r="B167" s="37" t="s">
        <v>49</v>
      </c>
      <c r="C167" s="5" t="s">
        <v>576</v>
      </c>
      <c r="D167" s="429">
        <f>NHANCONG!G153</f>
        <v>38473.32</v>
      </c>
      <c r="E167" s="430">
        <f>THIETBI!I196</f>
        <v>964.09090909090901</v>
      </c>
      <c r="F167" s="430">
        <f>DUNGCU!H213</f>
        <v>310.41956923076924</v>
      </c>
      <c r="G167" s="429">
        <f>VATLIEU!F188</f>
        <v>47258.16</v>
      </c>
      <c r="H167" s="430">
        <f>H164</f>
        <v>2079.5402880000001</v>
      </c>
      <c r="I167" s="429">
        <f>SUM(Table10[[#This Row],[1]:[5]])</f>
        <v>89085.530766321681</v>
      </c>
      <c r="J167" s="429">
        <f>Table10[[#This Row],[6=1+...+5]]*15%</f>
        <v>13362.829614948252</v>
      </c>
      <c r="K167" s="429">
        <f>(Table10[[#This Row],[6=1+...+5]]-Table10[[#This Row],[2]])*15%</f>
        <v>13218.215978584614</v>
      </c>
      <c r="L167" s="429">
        <f>Table10[[#This Row],[6=1+...+5]]+Table10[[#This Row],[7=6*15%]]</f>
        <v>102448.36038126993</v>
      </c>
      <c r="M167" s="464">
        <f t="shared" si="35"/>
        <v>101339.65583581539</v>
      </c>
      <c r="N167" s="187"/>
    </row>
    <row r="168" spans="1:14" ht="15.75" x14ac:dyDescent="0.25">
      <c r="A168" s="79"/>
      <c r="B168" s="203" t="s">
        <v>274</v>
      </c>
      <c r="C168" s="5"/>
      <c r="D168" s="469"/>
      <c r="E168" s="469"/>
      <c r="F168" s="469"/>
      <c r="G168" s="470"/>
      <c r="H168" s="469"/>
      <c r="I168" s="469"/>
      <c r="J168" s="469"/>
      <c r="K168" s="469"/>
      <c r="L168" s="471"/>
      <c r="M168" s="471"/>
      <c r="N168" s="34" t="s">
        <v>490</v>
      </c>
    </row>
    <row r="169" spans="1:14" ht="15.75" x14ac:dyDescent="0.25">
      <c r="A169" s="79" t="s">
        <v>145</v>
      </c>
      <c r="B169" s="37" t="s">
        <v>48</v>
      </c>
      <c r="C169" s="5" t="s">
        <v>588</v>
      </c>
      <c r="D169" s="429">
        <f>NHANCONG!G155</f>
        <v>117534.56400000001</v>
      </c>
      <c r="E169" s="430">
        <f t="shared" ref="E169" si="36">E163*1.5</f>
        <v>112.5</v>
      </c>
      <c r="F169" s="430">
        <f>DUNGCU!H215</f>
        <v>3228.4276538461536</v>
      </c>
      <c r="G169" s="429">
        <f>VATLIEU!F190</f>
        <v>7233.9540000000006</v>
      </c>
      <c r="H169" s="430">
        <f>H163</f>
        <v>1174.2947999999999</v>
      </c>
      <c r="I169" s="429">
        <f>SUM(Table10[[#This Row],[1]:[5]])</f>
        <v>129283.74045384617</v>
      </c>
      <c r="J169" s="429">
        <f>Table10[[#This Row],[6=1+...+5]]*15%</f>
        <v>19392.561068076924</v>
      </c>
      <c r="K169" s="429">
        <f>(Table10[[#This Row],[6=1+...+5]]-Table10[[#This Row],[2]])*15%</f>
        <v>19375.686068076924</v>
      </c>
      <c r="L169" s="429">
        <f>Table10[[#This Row],[6=1+...+5]]+Table10[[#This Row],[7=6*15%]]</f>
        <v>148676.3015219231</v>
      </c>
      <c r="M169" s="464">
        <f t="shared" ref="M169:M170" si="37">I169-E169+K169</f>
        <v>148546.9265219231</v>
      </c>
      <c r="N169" s="187"/>
    </row>
    <row r="170" spans="1:14" ht="15.75" x14ac:dyDescent="0.25">
      <c r="A170" s="79" t="s">
        <v>146</v>
      </c>
      <c r="B170" s="37" t="s">
        <v>49</v>
      </c>
      <c r="C170" s="5" t="s">
        <v>576</v>
      </c>
      <c r="D170" s="429">
        <f>NHANCONG!G156</f>
        <v>48091.65</v>
      </c>
      <c r="E170" s="430">
        <f t="shared" ref="E170" si="38">E164*1.5</f>
        <v>1205.1136363636363</v>
      </c>
      <c r="F170" s="430">
        <f>DUNGCU!H216</f>
        <v>388.02446153846154</v>
      </c>
      <c r="G170" s="429">
        <f>VATLIEU!F191</f>
        <v>59072.700000000004</v>
      </c>
      <c r="H170" s="430">
        <f>H164</f>
        <v>2079.5402880000001</v>
      </c>
      <c r="I170" s="429">
        <f>SUM(Table10[[#This Row],[1]:[5]])</f>
        <v>110837.0283859021</v>
      </c>
      <c r="J170" s="429">
        <f>Table10[[#This Row],[6=1+...+5]]*15%</f>
        <v>16625.554257885313</v>
      </c>
      <c r="K170" s="429">
        <f>(Table10[[#This Row],[6=1+...+5]]-Table10[[#This Row],[2]])*15%</f>
        <v>16444.787212430769</v>
      </c>
      <c r="L170" s="429">
        <f>Table10[[#This Row],[6=1+...+5]]+Table10[[#This Row],[7=6*15%]]</f>
        <v>127462.58264378741</v>
      </c>
      <c r="M170" s="464">
        <f t="shared" si="37"/>
        <v>126076.70196196923</v>
      </c>
      <c r="N170" s="187"/>
    </row>
    <row r="171" spans="1:14" s="420" customFormat="1" ht="15.75" x14ac:dyDescent="0.25">
      <c r="A171" s="78" t="s">
        <v>296</v>
      </c>
      <c r="B171" s="143" t="s">
        <v>50</v>
      </c>
      <c r="C171" s="5"/>
      <c r="D171" s="462"/>
      <c r="E171" s="462"/>
      <c r="F171" s="462"/>
      <c r="G171" s="462"/>
      <c r="H171" s="462"/>
      <c r="I171" s="462"/>
      <c r="J171" s="462"/>
      <c r="K171" s="462"/>
      <c r="L171" s="462"/>
      <c r="M171" s="463"/>
      <c r="N171" s="189"/>
    </row>
    <row r="172" spans="1:14" ht="15.75" x14ac:dyDescent="0.25">
      <c r="A172" s="205"/>
      <c r="B172" s="203" t="s">
        <v>272</v>
      </c>
      <c r="C172" s="5"/>
      <c r="D172" s="469"/>
      <c r="E172" s="469"/>
      <c r="F172" s="469"/>
      <c r="G172" s="470"/>
      <c r="H172" s="469"/>
      <c r="I172" s="469"/>
      <c r="J172" s="469"/>
      <c r="K172" s="469"/>
      <c r="L172" s="471"/>
      <c r="M172" s="471"/>
      <c r="N172" s="34" t="s">
        <v>491</v>
      </c>
    </row>
    <row r="173" spans="1:14" ht="15.75" x14ac:dyDescent="0.25">
      <c r="A173" s="79" t="s">
        <v>147</v>
      </c>
      <c r="B173" s="37" t="s">
        <v>50</v>
      </c>
      <c r="C173" s="5" t="s">
        <v>565</v>
      </c>
      <c r="D173" s="429">
        <f>NHANCONG!G159</f>
        <v>333580.82799999998</v>
      </c>
      <c r="E173" s="429">
        <f>THIETBI!I202</f>
        <v>0</v>
      </c>
      <c r="F173" s="429">
        <f>DUNGCU!H219</f>
        <v>167.33915461538461</v>
      </c>
      <c r="G173" s="429">
        <f>VATLIEU!F194</f>
        <v>482.95</v>
      </c>
      <c r="H173" s="429">
        <f>DIENNANG!F181</f>
        <v>206.10072000000002</v>
      </c>
      <c r="I173" s="429">
        <f>SUM(Table10[[#This Row],[1]:[5]])</f>
        <v>334437.21787461534</v>
      </c>
      <c r="J173" s="429">
        <f>Table10[[#This Row],[6=1+...+5]]*15%</f>
        <v>50165.582681192296</v>
      </c>
      <c r="K173" s="429">
        <f>(Table10[[#This Row],[6=1+...+5]]-Table10[[#This Row],[2]])*15%</f>
        <v>50165.582681192296</v>
      </c>
      <c r="L173" s="429">
        <f>Table10[[#This Row],[6=1+...+5]]+Table10[[#This Row],[7=6*15%]]</f>
        <v>384602.80055580765</v>
      </c>
      <c r="M173" s="464">
        <f t="shared" ref="M173" si="39">I173-E173+K173</f>
        <v>384602.80055580765</v>
      </c>
      <c r="N173" s="187"/>
    </row>
    <row r="174" spans="1:14" ht="15.75" x14ac:dyDescent="0.25">
      <c r="A174" s="79" t="s">
        <v>148</v>
      </c>
      <c r="B174" s="37" t="s">
        <v>51</v>
      </c>
      <c r="C174" s="5"/>
      <c r="D174" s="429"/>
      <c r="E174" s="429"/>
      <c r="F174" s="429"/>
      <c r="G174" s="429"/>
      <c r="H174" s="429"/>
      <c r="I174" s="429"/>
      <c r="J174" s="429"/>
      <c r="K174" s="429"/>
      <c r="L174" s="429"/>
      <c r="M174" s="464"/>
      <c r="N174" s="187" t="s">
        <v>54</v>
      </c>
    </row>
    <row r="175" spans="1:14" ht="15.75" x14ac:dyDescent="0.25">
      <c r="A175" s="205"/>
      <c r="B175" s="203" t="s">
        <v>273</v>
      </c>
      <c r="C175" s="5"/>
      <c r="D175" s="469"/>
      <c r="E175" s="469"/>
      <c r="F175" s="469"/>
      <c r="G175" s="470"/>
      <c r="H175" s="469"/>
      <c r="I175" s="469"/>
      <c r="J175" s="469"/>
      <c r="K175" s="469"/>
      <c r="L175" s="471"/>
      <c r="M175" s="471"/>
      <c r="N175" s="34" t="s">
        <v>489</v>
      </c>
    </row>
    <row r="176" spans="1:14" ht="15.75" x14ac:dyDescent="0.25">
      <c r="A176" s="79" t="s">
        <v>147</v>
      </c>
      <c r="B176" s="37" t="s">
        <v>50</v>
      </c>
      <c r="C176" s="5" t="s">
        <v>565</v>
      </c>
      <c r="D176" s="429">
        <f>NHANCONG!G162</f>
        <v>400296.99359999999</v>
      </c>
      <c r="E176" s="429">
        <f>THIETBI!I205</f>
        <v>0</v>
      </c>
      <c r="F176" s="430">
        <f>DUNGCU!H232</f>
        <v>200.80698553846153</v>
      </c>
      <c r="G176" s="429">
        <f>VATLIEU!F199</f>
        <v>579.54</v>
      </c>
      <c r="H176" s="430">
        <f>H173</f>
        <v>206.10072000000002</v>
      </c>
      <c r="I176" s="429">
        <f>SUM(Table10[[#This Row],[1]:[5]])</f>
        <v>401283.44130553841</v>
      </c>
      <c r="J176" s="429">
        <f>Table10[[#This Row],[6=1+...+5]]*15%</f>
        <v>60192.516195830758</v>
      </c>
      <c r="K176" s="429">
        <f>(Table10[[#This Row],[6=1+...+5]]-Table10[[#This Row],[2]])*15%</f>
        <v>60192.516195830758</v>
      </c>
      <c r="L176" s="429">
        <f>Table10[[#This Row],[6=1+...+5]]+Table10[[#This Row],[7=6*15%]]</f>
        <v>461475.95750136918</v>
      </c>
      <c r="M176" s="464">
        <f t="shared" ref="M176" si="40">I176-E176+K176</f>
        <v>461475.95750136918</v>
      </c>
      <c r="N176" s="187"/>
    </row>
    <row r="177" spans="1:14" ht="15.75" x14ac:dyDescent="0.25">
      <c r="A177" s="79" t="s">
        <v>148</v>
      </c>
      <c r="B177" s="37" t="s">
        <v>51</v>
      </c>
      <c r="C177" s="5"/>
      <c r="D177" s="430"/>
      <c r="E177" s="430"/>
      <c r="F177" s="430"/>
      <c r="G177" s="429"/>
      <c r="H177" s="430"/>
      <c r="I177" s="429"/>
      <c r="J177" s="429"/>
      <c r="K177" s="429"/>
      <c r="L177" s="429"/>
      <c r="M177" s="464"/>
      <c r="N177" s="187" t="s">
        <v>54</v>
      </c>
    </row>
    <row r="178" spans="1:14" ht="15.75" x14ac:dyDescent="0.25">
      <c r="A178" s="79"/>
      <c r="B178" s="203" t="s">
        <v>274</v>
      </c>
      <c r="C178" s="5"/>
      <c r="D178" s="469"/>
      <c r="E178" s="469"/>
      <c r="F178" s="469"/>
      <c r="G178" s="470"/>
      <c r="H178" s="469"/>
      <c r="I178" s="469"/>
      <c r="J178" s="469"/>
      <c r="K178" s="469"/>
      <c r="L178" s="471"/>
      <c r="M178" s="471"/>
      <c r="N178" s="34" t="s">
        <v>490</v>
      </c>
    </row>
    <row r="179" spans="1:14" ht="15.75" x14ac:dyDescent="0.25">
      <c r="A179" s="79" t="s">
        <v>147</v>
      </c>
      <c r="B179" s="37" t="s">
        <v>50</v>
      </c>
      <c r="C179" s="5" t="s">
        <v>565</v>
      </c>
      <c r="D179" s="429">
        <f>NHANCONG!G165</f>
        <v>500371.24199999997</v>
      </c>
      <c r="E179" s="429">
        <f>THIETBI!I208</f>
        <v>0</v>
      </c>
      <c r="F179" s="430">
        <f>DUNGCU!H235</f>
        <v>251.00873192307694</v>
      </c>
      <c r="G179" s="429">
        <f>VATLIEU!F202</f>
        <v>724.42499999999995</v>
      </c>
      <c r="H179" s="430">
        <f>H173</f>
        <v>206.10072000000002</v>
      </c>
      <c r="I179" s="429">
        <f>SUM(Table10[[#This Row],[1]:[5]])</f>
        <v>501552.77645192301</v>
      </c>
      <c r="J179" s="429">
        <f>Table10[[#This Row],[6=1+...+5]]*15%</f>
        <v>75232.916467788455</v>
      </c>
      <c r="K179" s="429">
        <f>(Table10[[#This Row],[6=1+...+5]]-Table10[[#This Row],[2]])*15%</f>
        <v>75232.916467788455</v>
      </c>
      <c r="L179" s="429">
        <f>Table10[[#This Row],[6=1+...+5]]+Table10[[#This Row],[7=6*15%]]</f>
        <v>576785.69291971147</v>
      </c>
      <c r="M179" s="464">
        <f t="shared" ref="M179" si="41">I179-E179+K179</f>
        <v>576785.69291971147</v>
      </c>
      <c r="N179" s="187"/>
    </row>
    <row r="180" spans="1:14" ht="15.75" x14ac:dyDescent="0.25">
      <c r="A180" s="79" t="s">
        <v>148</v>
      </c>
      <c r="B180" s="37" t="s">
        <v>51</v>
      </c>
      <c r="C180" s="5"/>
      <c r="D180" s="430"/>
      <c r="E180" s="430"/>
      <c r="F180" s="430"/>
      <c r="G180" s="429"/>
      <c r="H180" s="430"/>
      <c r="I180" s="429"/>
      <c r="J180" s="429"/>
      <c r="K180" s="429"/>
      <c r="L180" s="429"/>
      <c r="M180" s="464"/>
      <c r="N180" s="187" t="s">
        <v>54</v>
      </c>
    </row>
    <row r="181" spans="1:14" s="420" customFormat="1" ht="15.75" x14ac:dyDescent="0.25">
      <c r="A181" s="78" t="s">
        <v>161</v>
      </c>
      <c r="B181" s="143" t="s">
        <v>57</v>
      </c>
      <c r="C181" s="5"/>
      <c r="D181" s="462"/>
      <c r="E181" s="462"/>
      <c r="F181" s="462"/>
      <c r="G181" s="462"/>
      <c r="H181" s="462"/>
      <c r="I181" s="462"/>
      <c r="J181" s="462"/>
      <c r="K181" s="462"/>
      <c r="L181" s="462">
        <f>SUM(L182:L186)</f>
        <v>235335.5588173444</v>
      </c>
      <c r="M181" s="462">
        <f>SUM(M182:M186)</f>
        <v>233471.87566716256</v>
      </c>
      <c r="N181" s="385"/>
    </row>
    <row r="182" spans="1:14" ht="15.75" x14ac:dyDescent="0.25">
      <c r="A182" s="79" t="s">
        <v>149</v>
      </c>
      <c r="B182" s="37" t="s">
        <v>58</v>
      </c>
      <c r="C182" s="5" t="s">
        <v>589</v>
      </c>
      <c r="D182" s="429">
        <f>NHANCONG!G168</f>
        <v>4809.165</v>
      </c>
      <c r="E182" s="429">
        <f>THIETBI!I211</f>
        <v>0</v>
      </c>
      <c r="F182" s="429">
        <f>DUNGCU!H238</f>
        <v>42.719987179487177</v>
      </c>
      <c r="G182" s="429">
        <f>VATLIEU!F205</f>
        <v>41.999999999999993</v>
      </c>
      <c r="H182" s="429">
        <f>DIENNANG!F190</f>
        <v>24.284736000000002</v>
      </c>
      <c r="I182" s="429">
        <f>SUM(Table10[[#This Row],[1]:[5]])</f>
        <v>4918.1697231794869</v>
      </c>
      <c r="J182" s="429">
        <f>Table10[[#This Row],[6=1+...+5]]*15%</f>
        <v>737.725458476923</v>
      </c>
      <c r="K182" s="429">
        <f>(Table10[[#This Row],[6=1+...+5]]-Table10[[#This Row],[2]])*15%</f>
        <v>737.725458476923</v>
      </c>
      <c r="L182" s="429">
        <f>Table10[[#This Row],[6=1+...+5]]+Table10[[#This Row],[7=6*15%]]</f>
        <v>5655.8951816564095</v>
      </c>
      <c r="M182" s="464">
        <f t="shared" ref="M182:M185" si="42">I182-E182+K182</f>
        <v>5655.8951816564095</v>
      </c>
      <c r="N182" s="187"/>
    </row>
    <row r="183" spans="1:14" ht="15.75" x14ac:dyDescent="0.25">
      <c r="A183" s="79" t="s">
        <v>150</v>
      </c>
      <c r="B183" s="37" t="s">
        <v>59</v>
      </c>
      <c r="C183" s="5" t="s">
        <v>589</v>
      </c>
      <c r="D183" s="429">
        <f>NHANCONG!G169</f>
        <v>133764.75</v>
      </c>
      <c r="E183" s="429">
        <f>THIETBI!I212</f>
        <v>1373.5227272727273</v>
      </c>
      <c r="F183" s="429">
        <f>DUNGCU!H245</f>
        <v>908.56779230769234</v>
      </c>
      <c r="G183" s="429">
        <f>VATLIEU!F207</f>
        <v>25352.716</v>
      </c>
      <c r="H183" s="429">
        <f>DIENNANG!F195</f>
        <v>4804.0320384000006</v>
      </c>
      <c r="I183" s="429">
        <f>SUM(Table10[[#This Row],[1]:[5]])</f>
        <v>166203.58855798043</v>
      </c>
      <c r="J183" s="429">
        <f>Table10[[#This Row],[6=1+...+5]]*15%</f>
        <v>24930.538283697064</v>
      </c>
      <c r="K183" s="429">
        <f>(Table10[[#This Row],[6=1+...+5]]-Table10[[#This Row],[2]])*15%</f>
        <v>24724.509874606152</v>
      </c>
      <c r="L183" s="429">
        <f>Table10[[#This Row],[6=1+...+5]]+Table10[[#This Row],[7=6*15%]]</f>
        <v>191134.1268416775</v>
      </c>
      <c r="M183" s="464">
        <f t="shared" si="42"/>
        <v>189554.57570531385</v>
      </c>
      <c r="N183" s="187"/>
    </row>
    <row r="184" spans="1:14" ht="51" x14ac:dyDescent="0.25">
      <c r="A184" s="79" t="s">
        <v>151</v>
      </c>
      <c r="B184" s="37" t="s">
        <v>60</v>
      </c>
      <c r="C184" s="5"/>
      <c r="D184" s="429">
        <f>NHANCONG!G170</f>
        <v>16561.400000000001</v>
      </c>
      <c r="E184" s="429">
        <f>THIETBI!I215</f>
        <v>123.53565818181816</v>
      </c>
      <c r="F184" s="429">
        <f>DUNGCU!H252</f>
        <v>73.993382692307691</v>
      </c>
      <c r="G184" s="429">
        <f>VATLIEU!F210</f>
        <v>0</v>
      </c>
      <c r="H184" s="429">
        <f>DIENNANG!F202</f>
        <v>0</v>
      </c>
      <c r="I184" s="429">
        <f>SUM(Table10[[#This Row],[1]:[5]])</f>
        <v>16758.929040874129</v>
      </c>
      <c r="J184" s="429">
        <f>Table10[[#This Row],[6=1+...+5]]*15%</f>
        <v>2513.8393561311191</v>
      </c>
      <c r="K184" s="429">
        <f>(Table10[[#This Row],[6=1+...+5]]-Table10[[#This Row],[2]])*15%</f>
        <v>2495.3090074038464</v>
      </c>
      <c r="L184" s="429">
        <f>Table10[[#This Row],[6=1+...+5]]+Table10[[#This Row],[7=6*15%]]</f>
        <v>19272.768397005249</v>
      </c>
      <c r="M184" s="464">
        <f t="shared" si="42"/>
        <v>19130.702390096158</v>
      </c>
      <c r="N184" s="187" t="s">
        <v>299</v>
      </c>
    </row>
    <row r="185" spans="1:14" ht="51" x14ac:dyDescent="0.25">
      <c r="A185" s="79" t="s">
        <v>152</v>
      </c>
      <c r="B185" s="37" t="s">
        <v>61</v>
      </c>
      <c r="C185" s="5"/>
      <c r="D185" s="429">
        <f>NHANCONG!G171</f>
        <v>16561.400000000001</v>
      </c>
      <c r="E185" s="429">
        <f>THIETBI!I216</f>
        <v>123.53565818181816</v>
      </c>
      <c r="F185" s="429">
        <f>DUNGCU!H253</f>
        <v>73.993382692307691</v>
      </c>
      <c r="G185" s="429">
        <f>VATLIEU!F211</f>
        <v>0</v>
      </c>
      <c r="H185" s="429">
        <f>DIENNANG!F203</f>
        <v>0</v>
      </c>
      <c r="I185" s="429">
        <f>SUM(Table10[[#This Row],[1]:[5]])</f>
        <v>16758.929040874129</v>
      </c>
      <c r="J185" s="429">
        <f>Table10[[#This Row],[6=1+...+5]]*15%</f>
        <v>2513.8393561311191</v>
      </c>
      <c r="K185" s="429">
        <f>(Table10[[#This Row],[6=1+...+5]]-Table10[[#This Row],[2]])*15%</f>
        <v>2495.3090074038464</v>
      </c>
      <c r="L185" s="429">
        <f>Table10[[#This Row],[6=1+...+5]]+Table10[[#This Row],[7=6*15%]]</f>
        <v>19272.768397005249</v>
      </c>
      <c r="M185" s="464">
        <f t="shared" si="42"/>
        <v>19130.702390096158</v>
      </c>
      <c r="N185" s="187" t="s">
        <v>299</v>
      </c>
    </row>
    <row r="186" spans="1:14" ht="15.75" x14ac:dyDescent="0.25">
      <c r="A186" s="79" t="s">
        <v>153</v>
      </c>
      <c r="B186" s="37" t="s">
        <v>62</v>
      </c>
      <c r="C186" s="5"/>
      <c r="D186" s="429"/>
      <c r="E186" s="429"/>
      <c r="F186" s="429"/>
      <c r="G186" s="429"/>
      <c r="H186" s="429"/>
      <c r="I186" s="429"/>
      <c r="J186" s="429"/>
      <c r="K186" s="429"/>
      <c r="L186" s="429"/>
      <c r="M186" s="464"/>
      <c r="N186" s="187" t="s">
        <v>54</v>
      </c>
    </row>
    <row r="187" spans="1:14" ht="15.75" x14ac:dyDescent="0.25">
      <c r="A187" s="78" t="s">
        <v>160</v>
      </c>
      <c r="B187" s="55" t="s">
        <v>63</v>
      </c>
      <c r="C187" s="5"/>
      <c r="D187" s="430"/>
      <c r="E187" s="430"/>
      <c r="F187" s="430"/>
      <c r="G187" s="429"/>
      <c r="H187" s="430"/>
      <c r="I187" s="430"/>
      <c r="J187" s="430"/>
      <c r="K187" s="430"/>
      <c r="L187" s="430"/>
      <c r="M187" s="472"/>
      <c r="N187" s="187"/>
    </row>
    <row r="188" spans="1:14" ht="15.75" x14ac:dyDescent="0.25">
      <c r="A188" s="78"/>
      <c r="B188" s="421" t="s">
        <v>614</v>
      </c>
      <c r="C188" s="5"/>
      <c r="D188" s="430"/>
      <c r="E188" s="430"/>
      <c r="F188" s="430"/>
      <c r="G188" s="429"/>
      <c r="H188" s="430"/>
      <c r="I188" s="430"/>
      <c r="J188" s="430"/>
      <c r="K188" s="430"/>
      <c r="L188" s="430"/>
      <c r="M188" s="472"/>
      <c r="N188" s="187"/>
    </row>
    <row r="189" spans="1:14" ht="15.75" x14ac:dyDescent="0.25">
      <c r="A189" s="232" t="s">
        <v>504</v>
      </c>
      <c r="B189" s="203" t="s">
        <v>505</v>
      </c>
      <c r="C189" s="5"/>
      <c r="D189" s="469"/>
      <c r="E189" s="469"/>
      <c r="F189" s="469"/>
      <c r="G189" s="470"/>
      <c r="H189" s="469"/>
      <c r="I189" s="469"/>
      <c r="J189" s="469"/>
      <c r="K189" s="469"/>
      <c r="L189" s="471"/>
      <c r="M189" s="471"/>
      <c r="N189" s="224"/>
    </row>
    <row r="190" spans="1:14" ht="31.5" x14ac:dyDescent="0.25">
      <c r="A190" s="79" t="s">
        <v>154</v>
      </c>
      <c r="B190" s="37" t="s">
        <v>64</v>
      </c>
      <c r="C190" s="5" t="s">
        <v>564</v>
      </c>
      <c r="D190" s="429">
        <f>NHANCONG!G176</f>
        <v>1513.883</v>
      </c>
      <c r="E190" s="429">
        <f>THIETBI!I221</f>
        <v>0</v>
      </c>
      <c r="F190" s="429">
        <f>DUNGCU!H258</f>
        <v>0</v>
      </c>
      <c r="G190" s="429">
        <f>VATLIEU!F216</f>
        <v>0</v>
      </c>
      <c r="H190" s="429">
        <f>DIENNANG!F206</f>
        <v>0</v>
      </c>
      <c r="I190" s="429">
        <f>SUM(Table10[[#This Row],[1]:[5]])</f>
        <v>1513.883</v>
      </c>
      <c r="J190" s="429">
        <f>Table10[[#This Row],[6=1+...+5]]*15%</f>
        <v>227.08244999999999</v>
      </c>
      <c r="K190" s="429">
        <f>(Table10[[#This Row],[6=1+...+5]]-Table10[[#This Row],[2]])*15%</f>
        <v>227.08244999999999</v>
      </c>
      <c r="L190" s="429">
        <f>Table10[[#This Row],[6=1+...+5]]+Table10[[#This Row],[7=6*15%]]</f>
        <v>1740.9654500000001</v>
      </c>
      <c r="M190" s="464">
        <f t="shared" ref="M190:M195" si="43">I190-E190+K190</f>
        <v>1740.9654500000001</v>
      </c>
      <c r="N190" s="187"/>
    </row>
    <row r="191" spans="1:14" ht="15.75" x14ac:dyDescent="0.25">
      <c r="A191" s="79" t="s">
        <v>155</v>
      </c>
      <c r="B191" s="37" t="s">
        <v>65</v>
      </c>
      <c r="C191" s="5" t="s">
        <v>564</v>
      </c>
      <c r="D191" s="429">
        <f>NHANCONG!G177</f>
        <v>1579.704</v>
      </c>
      <c r="E191" s="429">
        <f>THIETBI!I222</f>
        <v>46.875</v>
      </c>
      <c r="F191" s="429">
        <f>DUNGCU!H259</f>
        <v>715.00217948717955</v>
      </c>
      <c r="G191" s="429">
        <f>VATLIEU!F217</f>
        <v>2132.6800000000003</v>
      </c>
      <c r="H191" s="429">
        <f>DIENNANG!F207</f>
        <v>813.21912000000009</v>
      </c>
      <c r="I191" s="429">
        <f>SUM(Table10[[#This Row],[1]:[5]])</f>
        <v>5287.4802994871798</v>
      </c>
      <c r="J191" s="429">
        <f>Table10[[#This Row],[6=1+...+5]]*15%</f>
        <v>793.12204492307694</v>
      </c>
      <c r="K191" s="429">
        <f>(Table10[[#This Row],[6=1+...+5]]-Table10[[#This Row],[2]])*15%</f>
        <v>786.09079492307694</v>
      </c>
      <c r="L191" s="429">
        <f>Table10[[#This Row],[6=1+...+5]]+Table10[[#This Row],[7=6*15%]]</f>
        <v>6080.6023444102566</v>
      </c>
      <c r="M191" s="464">
        <f t="shared" si="43"/>
        <v>6026.6960944102566</v>
      </c>
      <c r="N191" s="187"/>
    </row>
    <row r="192" spans="1:14" ht="15.75" x14ac:dyDescent="0.25">
      <c r="A192" s="79" t="s">
        <v>156</v>
      </c>
      <c r="B192" s="37" t="s">
        <v>66</v>
      </c>
      <c r="C192" s="5" t="s">
        <v>564</v>
      </c>
      <c r="D192" s="429">
        <f>NHANCONG!G178</f>
        <v>3159.4079999999999</v>
      </c>
      <c r="E192" s="429">
        <f>THIETBI!I224</f>
        <v>93.75</v>
      </c>
      <c r="F192" s="429">
        <f>DUNGCU!H272</f>
        <v>399.10474358974363</v>
      </c>
      <c r="G192" s="429">
        <f>VATLIEU!F224</f>
        <v>5366.027</v>
      </c>
      <c r="H192" s="429">
        <f>DIENNANG!F214</f>
        <v>1252.5811200000001</v>
      </c>
      <c r="I192" s="429">
        <f>SUM(Table10[[#This Row],[1]:[5]])</f>
        <v>10270.870863589744</v>
      </c>
      <c r="J192" s="429">
        <f>Table10[[#This Row],[6=1+...+5]]*15%</f>
        <v>1540.6306295384616</v>
      </c>
      <c r="K192" s="429">
        <f>(Table10[[#This Row],[6=1+...+5]]-Table10[[#This Row],[2]])*15%</f>
        <v>1526.5681295384616</v>
      </c>
      <c r="L192" s="429">
        <f>Table10[[#This Row],[6=1+...+5]]+Table10[[#This Row],[7=6*15%]]</f>
        <v>11811.501493128206</v>
      </c>
      <c r="M192" s="464">
        <f t="shared" si="43"/>
        <v>11703.688993128206</v>
      </c>
      <c r="N192" s="187"/>
    </row>
    <row r="193" spans="1:14" ht="15.75" x14ac:dyDescent="0.25">
      <c r="A193" s="79" t="s">
        <v>157</v>
      </c>
      <c r="B193" s="37" t="s">
        <v>67</v>
      </c>
      <c r="C193" s="5" t="s">
        <v>564</v>
      </c>
      <c r="D193" s="429">
        <f>NHANCONG!G179</f>
        <v>281.54379999999998</v>
      </c>
      <c r="E193" s="429">
        <f>THIETBI!I226</f>
        <v>0</v>
      </c>
      <c r="F193" s="429">
        <f>DUNGCU!H284</f>
        <v>0</v>
      </c>
      <c r="G193" s="429">
        <f>VATLIEU!F231</f>
        <v>0</v>
      </c>
      <c r="H193" s="429">
        <f>DIENNANG!F221</f>
        <v>0</v>
      </c>
      <c r="I193" s="429">
        <f>SUM(Table10[[#This Row],[1]:[5]])</f>
        <v>281.54379999999998</v>
      </c>
      <c r="J193" s="429">
        <f>Table10[[#This Row],[6=1+...+5]]*15%</f>
        <v>42.231569999999998</v>
      </c>
      <c r="K193" s="429">
        <f>(Table10[[#This Row],[6=1+...+5]]-Table10[[#This Row],[2]])*15%</f>
        <v>42.231569999999998</v>
      </c>
      <c r="L193" s="429">
        <f>Table10[[#This Row],[6=1+...+5]]+Table10[[#This Row],[7=6*15%]]</f>
        <v>323.77536999999995</v>
      </c>
      <c r="M193" s="464">
        <f t="shared" si="43"/>
        <v>323.77536999999995</v>
      </c>
      <c r="N193" s="187"/>
    </row>
    <row r="194" spans="1:14" ht="15.75" x14ac:dyDescent="0.25">
      <c r="A194" s="79" t="s">
        <v>158</v>
      </c>
      <c r="B194" s="37" t="s">
        <v>68</v>
      </c>
      <c r="C194" s="5" t="s">
        <v>564</v>
      </c>
      <c r="D194" s="429">
        <f>NHANCONG!G180</f>
        <v>289.61240000000004</v>
      </c>
      <c r="E194" s="429">
        <f>THIETBI!I227</f>
        <v>0</v>
      </c>
      <c r="F194" s="429">
        <f>DUNGCU!H285</f>
        <v>0</v>
      </c>
      <c r="G194" s="429">
        <f>VATLIEU!F232</f>
        <v>0</v>
      </c>
      <c r="H194" s="429">
        <f>DIENNANG!F222</f>
        <v>0</v>
      </c>
      <c r="I194" s="429">
        <f>SUM(Table10[[#This Row],[1]:[5]])</f>
        <v>289.61240000000004</v>
      </c>
      <c r="J194" s="429">
        <f>Table10[[#This Row],[6=1+...+5]]*15%</f>
        <v>43.441860000000005</v>
      </c>
      <c r="K194" s="429">
        <f>(Table10[[#This Row],[6=1+...+5]]-Table10[[#This Row],[2]])*15%</f>
        <v>43.441860000000005</v>
      </c>
      <c r="L194" s="429">
        <f>Table10[[#This Row],[6=1+...+5]]+Table10[[#This Row],[7=6*15%]]</f>
        <v>333.05426000000006</v>
      </c>
      <c r="M194" s="464">
        <f t="shared" si="43"/>
        <v>333.05426000000006</v>
      </c>
      <c r="N194" s="187"/>
    </row>
    <row r="195" spans="1:14" ht="25.5" x14ac:dyDescent="0.25">
      <c r="A195" s="79" t="s">
        <v>159</v>
      </c>
      <c r="B195" s="37" t="s">
        <v>69</v>
      </c>
      <c r="C195" s="5" t="s">
        <v>576</v>
      </c>
      <c r="D195" s="429">
        <f>NHANCONG!G181</f>
        <v>32061.100000000002</v>
      </c>
      <c r="E195" s="429">
        <f>THIETBI!I228</f>
        <v>803.40909090909088</v>
      </c>
      <c r="F195" s="429">
        <f>DUNGCU!H286</f>
        <v>258.68297435897438</v>
      </c>
      <c r="G195" s="429">
        <f>VATLIEU!F233</f>
        <v>39381.800000000003</v>
      </c>
      <c r="H195" s="429">
        <f>DIENNANG!F223</f>
        <v>2079.5402880000001</v>
      </c>
      <c r="I195" s="429">
        <f>SUM(Table10[[#This Row],[1]:[5]])</f>
        <v>74584.532353268078</v>
      </c>
      <c r="J195" s="429">
        <f>Table10[[#This Row],[6=1+...+5]]*15%</f>
        <v>11187.679852990212</v>
      </c>
      <c r="K195" s="429">
        <f>(Table10[[#This Row],[6=1+...+5]]-Table10[[#This Row],[2]])*15%</f>
        <v>11067.168489353848</v>
      </c>
      <c r="L195" s="429">
        <f>Table10[[#This Row],[6=1+...+5]]+Table10[[#This Row],[7=6*15%]]</f>
        <v>85772.212206258293</v>
      </c>
      <c r="M195" s="464">
        <f t="shared" si="43"/>
        <v>84848.291751712837</v>
      </c>
      <c r="N195" s="187" t="s">
        <v>328</v>
      </c>
    </row>
    <row r="196" spans="1:14" ht="15.75" x14ac:dyDescent="0.25">
      <c r="A196" s="232" t="s">
        <v>506</v>
      </c>
      <c r="B196" s="203" t="s">
        <v>507</v>
      </c>
      <c r="C196" s="5"/>
      <c r="D196" s="469"/>
      <c r="E196" s="469"/>
      <c r="F196" s="469"/>
      <c r="G196" s="470"/>
      <c r="H196" s="469"/>
      <c r="I196" s="469"/>
      <c r="J196" s="469"/>
      <c r="K196" s="469"/>
      <c r="L196" s="471"/>
      <c r="M196" s="471"/>
      <c r="N196" s="34" t="s">
        <v>521</v>
      </c>
    </row>
    <row r="197" spans="1:14" ht="31.5" x14ac:dyDescent="0.25">
      <c r="A197" s="79" t="s">
        <v>154</v>
      </c>
      <c r="B197" s="37" t="s">
        <v>64</v>
      </c>
      <c r="C197" s="5" t="s">
        <v>564</v>
      </c>
      <c r="D197" s="429">
        <f>NHANCONG!G183</f>
        <v>1513.883</v>
      </c>
      <c r="E197" s="430">
        <f>THIETBI!I230</f>
        <v>0</v>
      </c>
      <c r="F197" s="430">
        <f>DUNGCU!H288</f>
        <v>0</v>
      </c>
      <c r="G197" s="429">
        <f>VATLIEU!F235</f>
        <v>0</v>
      </c>
      <c r="H197" s="430">
        <f>H190</f>
        <v>0</v>
      </c>
      <c r="I197" s="429">
        <f>SUM(Table10[[#This Row],[1]:[5]])</f>
        <v>1513.883</v>
      </c>
      <c r="J197" s="429">
        <f>Table10[[#This Row],[6=1+...+5]]*15%</f>
        <v>227.08244999999999</v>
      </c>
      <c r="K197" s="429">
        <f>(Table10[[#This Row],[6=1+...+5]]-Table10[[#This Row],[2]])*15%</f>
        <v>227.08244999999999</v>
      </c>
      <c r="L197" s="429">
        <f>Table10[[#This Row],[6=1+...+5]]+Table10[[#This Row],[7=6*15%]]</f>
        <v>1740.9654500000001</v>
      </c>
      <c r="M197" s="464">
        <f t="shared" ref="M197:M202" si="44">I197-E197+K197</f>
        <v>1740.9654500000001</v>
      </c>
      <c r="N197" s="187"/>
    </row>
    <row r="198" spans="1:14" ht="15.75" x14ac:dyDescent="0.25">
      <c r="A198" s="79" t="s">
        <v>155</v>
      </c>
      <c r="B198" s="37" t="s">
        <v>65</v>
      </c>
      <c r="C198" s="5" t="s">
        <v>564</v>
      </c>
      <c r="D198" s="429">
        <f>NHANCONG!G184</f>
        <v>1263.7632000000001</v>
      </c>
      <c r="E198" s="430">
        <f>THIETBI!I231</f>
        <v>37.5</v>
      </c>
      <c r="F198" s="430">
        <f>DUNGCU!H289</f>
        <v>572.00174358974368</v>
      </c>
      <c r="G198" s="429">
        <f>VATLIEU!F236</f>
        <v>1706.1440000000002</v>
      </c>
      <c r="H198" s="430">
        <f t="shared" ref="H198:H202" si="45">H191</f>
        <v>813.21912000000009</v>
      </c>
      <c r="I198" s="429">
        <f>SUM(Table10[[#This Row],[1]:[5]])</f>
        <v>4392.6280635897438</v>
      </c>
      <c r="J198" s="429">
        <f>Table10[[#This Row],[6=1+...+5]]*15%</f>
        <v>658.8942095384615</v>
      </c>
      <c r="K198" s="429">
        <f>(Table10[[#This Row],[6=1+...+5]]-Table10[[#This Row],[2]])*15%</f>
        <v>653.2692095384615</v>
      </c>
      <c r="L198" s="429">
        <f>Table10[[#This Row],[6=1+...+5]]+Table10[[#This Row],[7=6*15%]]</f>
        <v>5051.5222731282056</v>
      </c>
      <c r="M198" s="464">
        <f t="shared" si="44"/>
        <v>5008.3972731282056</v>
      </c>
      <c r="N198" s="187"/>
    </row>
    <row r="199" spans="1:14" ht="15.75" x14ac:dyDescent="0.25">
      <c r="A199" s="79" t="s">
        <v>156</v>
      </c>
      <c r="B199" s="37" t="s">
        <v>66</v>
      </c>
      <c r="C199" s="5" t="s">
        <v>564</v>
      </c>
      <c r="D199" s="429">
        <f>NHANCONG!G185</f>
        <v>2527.5264000000002</v>
      </c>
      <c r="E199" s="430">
        <f>THIETBI!I232</f>
        <v>75</v>
      </c>
      <c r="F199" s="430">
        <f>DUNGCU!H290</f>
        <v>319.28379487179495</v>
      </c>
      <c r="G199" s="429">
        <f>VATLIEU!F237</f>
        <v>4292.8216000000002</v>
      </c>
      <c r="H199" s="430">
        <f t="shared" si="45"/>
        <v>1252.5811200000001</v>
      </c>
      <c r="I199" s="429">
        <f>SUM(Table10[[#This Row],[1]:[5]])</f>
        <v>8467.2129148717959</v>
      </c>
      <c r="J199" s="429">
        <f>Table10[[#This Row],[6=1+...+5]]*15%</f>
        <v>1270.0819372307694</v>
      </c>
      <c r="K199" s="429">
        <f>(Table10[[#This Row],[6=1+...+5]]-Table10[[#This Row],[2]])*15%</f>
        <v>1258.8319372307694</v>
      </c>
      <c r="L199" s="429">
        <f>Table10[[#This Row],[6=1+...+5]]+Table10[[#This Row],[7=6*15%]]</f>
        <v>9737.2948521025646</v>
      </c>
      <c r="M199" s="464">
        <f t="shared" si="44"/>
        <v>9651.0448521025646</v>
      </c>
      <c r="N199" s="187"/>
    </row>
    <row r="200" spans="1:14" ht="15.75" x14ac:dyDescent="0.25">
      <c r="A200" s="79" t="s">
        <v>157</v>
      </c>
      <c r="B200" s="37" t="s">
        <v>67</v>
      </c>
      <c r="C200" s="5" t="s">
        <v>564</v>
      </c>
      <c r="D200" s="429">
        <f>NHANCONG!G186</f>
        <v>281.54379999999998</v>
      </c>
      <c r="E200" s="430">
        <f>THIETBI!I233</f>
        <v>0</v>
      </c>
      <c r="F200" s="430">
        <f>DUNGCU!H291</f>
        <v>0</v>
      </c>
      <c r="G200" s="429">
        <f>VATLIEU!F238</f>
        <v>0</v>
      </c>
      <c r="H200" s="430">
        <f t="shared" si="45"/>
        <v>0</v>
      </c>
      <c r="I200" s="429">
        <f>SUM(Table10[[#This Row],[1]:[5]])</f>
        <v>281.54379999999998</v>
      </c>
      <c r="J200" s="429">
        <f>Table10[[#This Row],[6=1+...+5]]*15%</f>
        <v>42.231569999999998</v>
      </c>
      <c r="K200" s="429">
        <f>(Table10[[#This Row],[6=1+...+5]]-Table10[[#This Row],[2]])*15%</f>
        <v>42.231569999999998</v>
      </c>
      <c r="L200" s="429">
        <f>Table10[[#This Row],[6=1+...+5]]+Table10[[#This Row],[7=6*15%]]</f>
        <v>323.77536999999995</v>
      </c>
      <c r="M200" s="464">
        <f t="shared" si="44"/>
        <v>323.77536999999995</v>
      </c>
      <c r="N200" s="187"/>
    </row>
    <row r="201" spans="1:14" ht="15.75" x14ac:dyDescent="0.25">
      <c r="A201" s="79" t="s">
        <v>158</v>
      </c>
      <c r="B201" s="37" t="s">
        <v>68</v>
      </c>
      <c r="C201" s="5" t="s">
        <v>564</v>
      </c>
      <c r="D201" s="429">
        <f>NHANCONG!G187</f>
        <v>289.61240000000004</v>
      </c>
      <c r="E201" s="430">
        <f>THIETBI!I234</f>
        <v>0</v>
      </c>
      <c r="F201" s="430">
        <f>DUNGCU!H292</f>
        <v>0</v>
      </c>
      <c r="G201" s="429">
        <f>VATLIEU!F239</f>
        <v>0</v>
      </c>
      <c r="H201" s="430">
        <f t="shared" si="45"/>
        <v>0</v>
      </c>
      <c r="I201" s="429">
        <f>SUM(Table10[[#This Row],[1]:[5]])</f>
        <v>289.61240000000004</v>
      </c>
      <c r="J201" s="429">
        <f>Table10[[#This Row],[6=1+...+5]]*15%</f>
        <v>43.441860000000005</v>
      </c>
      <c r="K201" s="429">
        <f>(Table10[[#This Row],[6=1+...+5]]-Table10[[#This Row],[2]])*15%</f>
        <v>43.441860000000005</v>
      </c>
      <c r="L201" s="429">
        <f>Table10[[#This Row],[6=1+...+5]]+Table10[[#This Row],[7=6*15%]]</f>
        <v>333.05426000000006</v>
      </c>
      <c r="M201" s="464">
        <f t="shared" si="44"/>
        <v>333.05426000000006</v>
      </c>
      <c r="N201" s="187"/>
    </row>
    <row r="202" spans="1:14" ht="25.5" x14ac:dyDescent="0.25">
      <c r="A202" s="79" t="s">
        <v>159</v>
      </c>
      <c r="B202" s="37" t="s">
        <v>69</v>
      </c>
      <c r="C202" s="5"/>
      <c r="D202" s="429">
        <f>NHANCONG!G188</f>
        <v>32061.100000000002</v>
      </c>
      <c r="E202" s="430">
        <f>THIETBI!I235</f>
        <v>803.40909090909088</v>
      </c>
      <c r="F202" s="430">
        <f>DUNGCU!H293</f>
        <v>258.68297435897438</v>
      </c>
      <c r="G202" s="429">
        <f>VATLIEU!F240</f>
        <v>39381.800000000003</v>
      </c>
      <c r="H202" s="430">
        <f t="shared" si="45"/>
        <v>2079.5402880000001</v>
      </c>
      <c r="I202" s="429">
        <f>SUM(Table10[[#This Row],[1]:[5]])</f>
        <v>74584.532353268078</v>
      </c>
      <c r="J202" s="429">
        <f>Table10[[#This Row],[6=1+...+5]]*15%</f>
        <v>11187.679852990212</v>
      </c>
      <c r="K202" s="429">
        <f>(Table10[[#This Row],[6=1+...+5]]-Table10[[#This Row],[2]])*15%</f>
        <v>11067.168489353848</v>
      </c>
      <c r="L202" s="429">
        <f>Table10[[#This Row],[6=1+...+5]]+Table10[[#This Row],[7=6*15%]]</f>
        <v>85772.212206258293</v>
      </c>
      <c r="M202" s="464">
        <f t="shared" si="44"/>
        <v>84848.291751712837</v>
      </c>
      <c r="N202" s="187" t="s">
        <v>328</v>
      </c>
    </row>
    <row r="203" spans="1:14" ht="15.75" x14ac:dyDescent="0.25">
      <c r="A203" s="232" t="s">
        <v>509</v>
      </c>
      <c r="B203" s="203" t="s">
        <v>510</v>
      </c>
      <c r="C203" s="5"/>
      <c r="D203" s="469"/>
      <c r="E203" s="469"/>
      <c r="F203" s="469"/>
      <c r="G203" s="470"/>
      <c r="H203" s="469"/>
      <c r="I203" s="469"/>
      <c r="J203" s="469"/>
      <c r="K203" s="469"/>
      <c r="L203" s="471"/>
      <c r="M203" s="471"/>
      <c r="N203" s="34" t="s">
        <v>522</v>
      </c>
    </row>
    <row r="204" spans="1:14" ht="31.5" x14ac:dyDescent="0.25">
      <c r="A204" s="79" t="s">
        <v>154</v>
      </c>
      <c r="B204" s="37" t="s">
        <v>64</v>
      </c>
      <c r="C204" s="5" t="s">
        <v>564</v>
      </c>
      <c r="D204" s="429">
        <f>NHANCONG!G190</f>
        <v>1513.883</v>
      </c>
      <c r="E204" s="430">
        <f>THIETBI!I237</f>
        <v>0</v>
      </c>
      <c r="F204" s="430">
        <f>DUNGCU!H295</f>
        <v>0</v>
      </c>
      <c r="G204" s="429">
        <f>VATLIEU!F242</f>
        <v>0</v>
      </c>
      <c r="H204" s="430">
        <f>H190</f>
        <v>0</v>
      </c>
      <c r="I204" s="429">
        <f>SUM(Table10[[#This Row],[1]:[5]])</f>
        <v>1513.883</v>
      </c>
      <c r="J204" s="429">
        <f>Table10[[#This Row],[6=1+...+5]]*15%</f>
        <v>227.08244999999999</v>
      </c>
      <c r="K204" s="429">
        <f>(Table10[[#This Row],[6=1+...+5]]-Table10[[#This Row],[2]])*15%</f>
        <v>227.08244999999999</v>
      </c>
      <c r="L204" s="429">
        <f>Table10[[#This Row],[6=1+...+5]]+Table10[[#This Row],[7=6*15%]]</f>
        <v>1740.9654500000001</v>
      </c>
      <c r="M204" s="464">
        <f t="shared" ref="M204:M209" si="46">I204-E204+K204</f>
        <v>1740.9654500000001</v>
      </c>
      <c r="N204" s="187"/>
    </row>
    <row r="205" spans="1:14" ht="15.75" x14ac:dyDescent="0.25">
      <c r="A205" s="79" t="s">
        <v>155</v>
      </c>
      <c r="B205" s="37" t="s">
        <v>65</v>
      </c>
      <c r="C205" s="5" t="s">
        <v>564</v>
      </c>
      <c r="D205" s="429">
        <f>NHANCONG!G191</f>
        <v>2369.556</v>
      </c>
      <c r="E205" s="430">
        <f>THIETBI!I238</f>
        <v>70.3125</v>
      </c>
      <c r="F205" s="430">
        <f>DUNGCU!H296</f>
        <v>1072.5032692307693</v>
      </c>
      <c r="G205" s="429">
        <f>VATLIEU!F243</f>
        <v>3199.0200000000004</v>
      </c>
      <c r="H205" s="430">
        <f t="shared" ref="H205:H209" si="47">H191</f>
        <v>813.21912000000009</v>
      </c>
      <c r="I205" s="429">
        <f>SUM(Table10[[#This Row],[1]:[5]])</f>
        <v>7524.6108892307693</v>
      </c>
      <c r="J205" s="429">
        <f>Table10[[#This Row],[6=1+...+5]]*15%</f>
        <v>1128.6916333846154</v>
      </c>
      <c r="K205" s="429">
        <f>(Table10[[#This Row],[6=1+...+5]]-Table10[[#This Row],[2]])*15%</f>
        <v>1118.1447583846154</v>
      </c>
      <c r="L205" s="429">
        <f>Table10[[#This Row],[6=1+...+5]]+Table10[[#This Row],[7=6*15%]]</f>
        <v>8653.3025226153841</v>
      </c>
      <c r="M205" s="464">
        <f t="shared" si="46"/>
        <v>8572.4431476153841</v>
      </c>
      <c r="N205" s="187"/>
    </row>
    <row r="206" spans="1:14" ht="15.75" x14ac:dyDescent="0.25">
      <c r="A206" s="79" t="s">
        <v>156</v>
      </c>
      <c r="B206" s="37" t="s">
        <v>66</v>
      </c>
      <c r="C206" s="5" t="s">
        <v>564</v>
      </c>
      <c r="D206" s="429">
        <f>NHANCONG!G192</f>
        <v>4739.1120000000001</v>
      </c>
      <c r="E206" s="430">
        <f>THIETBI!I239</f>
        <v>140.625</v>
      </c>
      <c r="F206" s="430">
        <f>DUNGCU!H297</f>
        <v>598.65711538461551</v>
      </c>
      <c r="G206" s="429">
        <f>VATLIEU!F244</f>
        <v>8049.0405000000001</v>
      </c>
      <c r="H206" s="430">
        <f t="shared" si="47"/>
        <v>1252.5811200000001</v>
      </c>
      <c r="I206" s="429">
        <f>SUM(Table10[[#This Row],[1]:[5]])</f>
        <v>14780.015735384617</v>
      </c>
      <c r="J206" s="429">
        <f>Table10[[#This Row],[6=1+...+5]]*15%</f>
        <v>2217.0023603076925</v>
      </c>
      <c r="K206" s="429">
        <f>(Table10[[#This Row],[6=1+...+5]]-Table10[[#This Row],[2]])*15%</f>
        <v>2195.9086103076925</v>
      </c>
      <c r="L206" s="429">
        <f>Table10[[#This Row],[6=1+...+5]]+Table10[[#This Row],[7=6*15%]]</f>
        <v>16997.01809569231</v>
      </c>
      <c r="M206" s="464">
        <f t="shared" si="46"/>
        <v>16835.29934569231</v>
      </c>
      <c r="N206" s="187"/>
    </row>
    <row r="207" spans="1:14" ht="15.75" x14ac:dyDescent="0.25">
      <c r="A207" s="79" t="s">
        <v>157</v>
      </c>
      <c r="B207" s="37" t="s">
        <v>67</v>
      </c>
      <c r="C207" s="5" t="s">
        <v>564</v>
      </c>
      <c r="D207" s="429">
        <f>NHANCONG!G193</f>
        <v>281.54379999999998</v>
      </c>
      <c r="E207" s="430">
        <f>THIETBI!I240</f>
        <v>0</v>
      </c>
      <c r="F207" s="430">
        <f>DUNGCU!H298</f>
        <v>0</v>
      </c>
      <c r="G207" s="429">
        <f>VATLIEU!F245</f>
        <v>0</v>
      </c>
      <c r="H207" s="430">
        <f t="shared" si="47"/>
        <v>0</v>
      </c>
      <c r="I207" s="429">
        <f>SUM(Table10[[#This Row],[1]:[5]])</f>
        <v>281.54379999999998</v>
      </c>
      <c r="J207" s="429">
        <f>Table10[[#This Row],[6=1+...+5]]*15%</f>
        <v>42.231569999999998</v>
      </c>
      <c r="K207" s="429">
        <f>(Table10[[#This Row],[6=1+...+5]]-Table10[[#This Row],[2]])*15%</f>
        <v>42.231569999999998</v>
      </c>
      <c r="L207" s="429">
        <f>Table10[[#This Row],[6=1+...+5]]+Table10[[#This Row],[7=6*15%]]</f>
        <v>323.77536999999995</v>
      </c>
      <c r="M207" s="464">
        <f t="shared" si="46"/>
        <v>323.77536999999995</v>
      </c>
      <c r="N207" s="187"/>
    </row>
    <row r="208" spans="1:14" ht="15.75" x14ac:dyDescent="0.25">
      <c r="A208" s="79" t="s">
        <v>158</v>
      </c>
      <c r="B208" s="37" t="s">
        <v>68</v>
      </c>
      <c r="C208" s="5" t="s">
        <v>564</v>
      </c>
      <c r="D208" s="429">
        <f>NHANCONG!G194</f>
        <v>289.61240000000004</v>
      </c>
      <c r="E208" s="430">
        <f>THIETBI!I241</f>
        <v>0</v>
      </c>
      <c r="F208" s="430">
        <f>DUNGCU!H299</f>
        <v>0</v>
      </c>
      <c r="G208" s="429">
        <f>VATLIEU!F246</f>
        <v>0</v>
      </c>
      <c r="H208" s="430">
        <f t="shared" si="47"/>
        <v>0</v>
      </c>
      <c r="I208" s="429">
        <f>SUM(Table10[[#This Row],[1]:[5]])</f>
        <v>289.61240000000004</v>
      </c>
      <c r="J208" s="429">
        <f>Table10[[#This Row],[6=1+...+5]]*15%</f>
        <v>43.441860000000005</v>
      </c>
      <c r="K208" s="429">
        <f>(Table10[[#This Row],[6=1+...+5]]-Table10[[#This Row],[2]])*15%</f>
        <v>43.441860000000005</v>
      </c>
      <c r="L208" s="429">
        <f>Table10[[#This Row],[6=1+...+5]]+Table10[[#This Row],[7=6*15%]]</f>
        <v>333.05426000000006</v>
      </c>
      <c r="M208" s="464">
        <f t="shared" si="46"/>
        <v>333.05426000000006</v>
      </c>
      <c r="N208" s="187"/>
    </row>
    <row r="209" spans="1:14" ht="25.5" x14ac:dyDescent="0.25">
      <c r="A209" s="79" t="s">
        <v>159</v>
      </c>
      <c r="B209" s="37" t="s">
        <v>69</v>
      </c>
      <c r="C209" s="5"/>
      <c r="D209" s="429">
        <f>NHANCONG!G195</f>
        <v>32061.100000000002</v>
      </c>
      <c r="E209" s="430">
        <f>THIETBI!I242</f>
        <v>803.40909090909088</v>
      </c>
      <c r="F209" s="430">
        <f>DUNGCU!H300</f>
        <v>258.68297435897438</v>
      </c>
      <c r="G209" s="429">
        <f>VATLIEU!F247</f>
        <v>39381.800000000003</v>
      </c>
      <c r="H209" s="430">
        <f t="shared" si="47"/>
        <v>2079.5402880000001</v>
      </c>
      <c r="I209" s="429">
        <f>SUM(Table10[[#This Row],[1]:[5]])</f>
        <v>74584.532353268078</v>
      </c>
      <c r="J209" s="429">
        <f>Table10[[#This Row],[6=1+...+5]]*15%</f>
        <v>11187.679852990212</v>
      </c>
      <c r="K209" s="429">
        <f>(Table10[[#This Row],[6=1+...+5]]-Table10[[#This Row],[2]])*15%</f>
        <v>11067.168489353848</v>
      </c>
      <c r="L209" s="429">
        <f>Table10[[#This Row],[6=1+...+5]]+Table10[[#This Row],[7=6*15%]]</f>
        <v>85772.212206258293</v>
      </c>
      <c r="M209" s="464">
        <f t="shared" si="46"/>
        <v>84848.291751712837</v>
      </c>
      <c r="N209" s="187" t="s">
        <v>328</v>
      </c>
    </row>
    <row r="210" spans="1:14" ht="15.75" x14ac:dyDescent="0.25">
      <c r="A210" s="232" t="s">
        <v>512</v>
      </c>
      <c r="B210" s="203" t="s">
        <v>513</v>
      </c>
      <c r="C210" s="5"/>
      <c r="D210" s="469"/>
      <c r="E210" s="469"/>
      <c r="F210" s="469"/>
      <c r="G210" s="470"/>
      <c r="H210" s="469"/>
      <c r="I210" s="469"/>
      <c r="J210" s="469"/>
      <c r="K210" s="469"/>
      <c r="L210" s="471"/>
      <c r="M210" s="471"/>
      <c r="N210" s="34" t="s">
        <v>523</v>
      </c>
    </row>
    <row r="211" spans="1:14" ht="31.5" x14ac:dyDescent="0.25">
      <c r="A211" s="79" t="s">
        <v>154</v>
      </c>
      <c r="B211" s="37" t="s">
        <v>64</v>
      </c>
      <c r="C211" s="5" t="s">
        <v>564</v>
      </c>
      <c r="D211" s="429">
        <f>NHANCONG!G197</f>
        <v>1513.883</v>
      </c>
      <c r="E211" s="430">
        <f>THIETBI!I244</f>
        <v>0</v>
      </c>
      <c r="F211" s="430">
        <f>DUNGCU!H302</f>
        <v>0</v>
      </c>
      <c r="G211" s="429">
        <f>VATLIEU!F249</f>
        <v>0</v>
      </c>
      <c r="H211" s="430">
        <f>H190</f>
        <v>0</v>
      </c>
      <c r="I211" s="429">
        <f>SUM(Table10[[#This Row],[1]:[5]])</f>
        <v>1513.883</v>
      </c>
      <c r="J211" s="429">
        <f>Table10[[#This Row],[6=1+...+5]]*15%</f>
        <v>227.08244999999999</v>
      </c>
      <c r="K211" s="429">
        <f>(Table10[[#This Row],[6=1+...+5]]-Table10[[#This Row],[2]])*15%</f>
        <v>227.08244999999999</v>
      </c>
      <c r="L211" s="429">
        <f>Table10[[#This Row],[6=1+...+5]]+Table10[[#This Row],[7=6*15%]]</f>
        <v>1740.9654500000001</v>
      </c>
      <c r="M211" s="464">
        <f t="shared" ref="M211:M216" si="48">I211-E211+K211</f>
        <v>1740.9654500000001</v>
      </c>
      <c r="N211" s="187"/>
    </row>
    <row r="212" spans="1:14" ht="15.75" x14ac:dyDescent="0.25">
      <c r="A212" s="79" t="s">
        <v>155</v>
      </c>
      <c r="B212" s="37" t="s">
        <v>65</v>
      </c>
      <c r="C212" s="5" t="s">
        <v>564</v>
      </c>
      <c r="D212" s="429">
        <f>NHANCONG!G198</f>
        <v>3949.2599999999998</v>
      </c>
      <c r="E212" s="430">
        <f>THIETBI!I245</f>
        <v>117.1875</v>
      </c>
      <c r="F212" s="430">
        <f>DUNGCU!H303</f>
        <v>1787.5054487179489</v>
      </c>
      <c r="G212" s="429">
        <f>VATLIEU!F250</f>
        <v>5331.7000000000007</v>
      </c>
      <c r="H212" s="430">
        <f t="shared" ref="H212:H216" si="49">H191</f>
        <v>813.21912000000009</v>
      </c>
      <c r="I212" s="429">
        <f>SUM(Table10[[#This Row],[1]:[5]])</f>
        <v>11998.87206871795</v>
      </c>
      <c r="J212" s="429">
        <f>Table10[[#This Row],[6=1+...+5]]*15%</f>
        <v>1799.8308103076924</v>
      </c>
      <c r="K212" s="429">
        <f>(Table10[[#This Row],[6=1+...+5]]-Table10[[#This Row],[2]])*15%</f>
        <v>1782.2526853076924</v>
      </c>
      <c r="L212" s="429">
        <f>Table10[[#This Row],[6=1+...+5]]+Table10[[#This Row],[7=6*15%]]</f>
        <v>13798.702879025643</v>
      </c>
      <c r="M212" s="464">
        <f t="shared" si="48"/>
        <v>13663.937254025643</v>
      </c>
      <c r="N212" s="187"/>
    </row>
    <row r="213" spans="1:14" ht="15.75" x14ac:dyDescent="0.25">
      <c r="A213" s="79" t="s">
        <v>156</v>
      </c>
      <c r="B213" s="37" t="s">
        <v>66</v>
      </c>
      <c r="C213" s="5" t="s">
        <v>564</v>
      </c>
      <c r="D213" s="429">
        <f>NHANCONG!G199</f>
        <v>7898.5199999999995</v>
      </c>
      <c r="E213" s="430">
        <f>THIETBI!I246</f>
        <v>234.375</v>
      </c>
      <c r="F213" s="430">
        <f>DUNGCU!H304</f>
        <v>997.76185897435903</v>
      </c>
      <c r="G213" s="429">
        <f>VATLIEU!F251</f>
        <v>13415.067500000001</v>
      </c>
      <c r="H213" s="430">
        <f t="shared" si="49"/>
        <v>1252.5811200000001</v>
      </c>
      <c r="I213" s="429">
        <f>SUM(Table10[[#This Row],[1]:[5]])</f>
        <v>23798.305478974358</v>
      </c>
      <c r="J213" s="429">
        <f>Table10[[#This Row],[6=1+...+5]]*15%</f>
        <v>3569.7458218461538</v>
      </c>
      <c r="K213" s="429">
        <f>(Table10[[#This Row],[6=1+...+5]]-Table10[[#This Row],[2]])*15%</f>
        <v>3534.5895718461538</v>
      </c>
      <c r="L213" s="429">
        <f>Table10[[#This Row],[6=1+...+5]]+Table10[[#This Row],[7=6*15%]]</f>
        <v>27368.051300820513</v>
      </c>
      <c r="M213" s="464">
        <f t="shared" si="48"/>
        <v>27098.520050820513</v>
      </c>
      <c r="N213" s="187"/>
    </row>
    <row r="214" spans="1:14" ht="15.75" x14ac:dyDescent="0.25">
      <c r="A214" s="79" t="s">
        <v>157</v>
      </c>
      <c r="B214" s="37" t="s">
        <v>67</v>
      </c>
      <c r="C214" s="5" t="s">
        <v>564</v>
      </c>
      <c r="D214" s="429">
        <f>NHANCONG!G200</f>
        <v>281.54379999999998</v>
      </c>
      <c r="E214" s="430">
        <f>THIETBI!I247</f>
        <v>0</v>
      </c>
      <c r="F214" s="430">
        <f>DUNGCU!H305</f>
        <v>0</v>
      </c>
      <c r="G214" s="429">
        <f>VATLIEU!F252</f>
        <v>0</v>
      </c>
      <c r="H214" s="430">
        <f t="shared" si="49"/>
        <v>0</v>
      </c>
      <c r="I214" s="429">
        <f>SUM(Table10[[#This Row],[1]:[5]])</f>
        <v>281.54379999999998</v>
      </c>
      <c r="J214" s="429">
        <f>Table10[[#This Row],[6=1+...+5]]*15%</f>
        <v>42.231569999999998</v>
      </c>
      <c r="K214" s="429">
        <f>(Table10[[#This Row],[6=1+...+5]]-Table10[[#This Row],[2]])*15%</f>
        <v>42.231569999999998</v>
      </c>
      <c r="L214" s="429">
        <f>Table10[[#This Row],[6=1+...+5]]+Table10[[#This Row],[7=6*15%]]</f>
        <v>323.77536999999995</v>
      </c>
      <c r="M214" s="464">
        <f t="shared" si="48"/>
        <v>323.77536999999995</v>
      </c>
      <c r="N214" s="187"/>
    </row>
    <row r="215" spans="1:14" ht="15.75" x14ac:dyDescent="0.25">
      <c r="A215" s="79" t="s">
        <v>158</v>
      </c>
      <c r="B215" s="37" t="s">
        <v>68</v>
      </c>
      <c r="C215" s="5" t="s">
        <v>564</v>
      </c>
      <c r="D215" s="429">
        <f>NHANCONG!G201</f>
        <v>289.61240000000004</v>
      </c>
      <c r="E215" s="430">
        <f>THIETBI!I248</f>
        <v>0</v>
      </c>
      <c r="F215" s="430">
        <f>DUNGCU!H306</f>
        <v>0</v>
      </c>
      <c r="G215" s="429">
        <f>VATLIEU!F253</f>
        <v>0</v>
      </c>
      <c r="H215" s="430">
        <f t="shared" si="49"/>
        <v>0</v>
      </c>
      <c r="I215" s="429">
        <f>SUM(Table10[[#This Row],[1]:[5]])</f>
        <v>289.61240000000004</v>
      </c>
      <c r="J215" s="429">
        <f>Table10[[#This Row],[6=1+...+5]]*15%</f>
        <v>43.441860000000005</v>
      </c>
      <c r="K215" s="429">
        <f>(Table10[[#This Row],[6=1+...+5]]-Table10[[#This Row],[2]])*15%</f>
        <v>43.441860000000005</v>
      </c>
      <c r="L215" s="429">
        <f>Table10[[#This Row],[6=1+...+5]]+Table10[[#This Row],[7=6*15%]]</f>
        <v>333.05426000000006</v>
      </c>
      <c r="M215" s="464">
        <f t="shared" si="48"/>
        <v>333.05426000000006</v>
      </c>
      <c r="N215" s="187"/>
    </row>
    <row r="216" spans="1:14" ht="25.5" x14ac:dyDescent="0.25">
      <c r="A216" s="79" t="s">
        <v>159</v>
      </c>
      <c r="B216" s="37" t="s">
        <v>69</v>
      </c>
      <c r="C216" s="5"/>
      <c r="D216" s="429">
        <f>NHANCONG!G202</f>
        <v>32061.100000000002</v>
      </c>
      <c r="E216" s="430">
        <f>THIETBI!I249</f>
        <v>803.40909090909088</v>
      </c>
      <c r="F216" s="430">
        <f>DUNGCU!H307</f>
        <v>258.68297435897438</v>
      </c>
      <c r="G216" s="429">
        <f>VATLIEU!F254</f>
        <v>39381.800000000003</v>
      </c>
      <c r="H216" s="430">
        <f t="shared" si="49"/>
        <v>2079.5402880000001</v>
      </c>
      <c r="I216" s="429">
        <f>SUM(Table10[[#This Row],[1]:[5]])</f>
        <v>74584.532353268078</v>
      </c>
      <c r="J216" s="429">
        <f>Table10[[#This Row],[6=1+...+5]]*15%</f>
        <v>11187.679852990212</v>
      </c>
      <c r="K216" s="429">
        <f>(Table10[[#This Row],[6=1+...+5]]-Table10[[#This Row],[2]])*15%</f>
        <v>11067.168489353848</v>
      </c>
      <c r="L216" s="429">
        <f>Table10[[#This Row],[6=1+...+5]]+Table10[[#This Row],[7=6*15%]]</f>
        <v>85772.212206258293</v>
      </c>
      <c r="M216" s="464">
        <f t="shared" si="48"/>
        <v>84848.291751712837</v>
      </c>
      <c r="N216" s="187" t="s">
        <v>328</v>
      </c>
    </row>
    <row r="217" spans="1:14" ht="15.75" x14ac:dyDescent="0.25">
      <c r="A217" s="232" t="s">
        <v>515</v>
      </c>
      <c r="B217" s="203" t="s">
        <v>516</v>
      </c>
      <c r="C217" s="5"/>
      <c r="D217" s="469"/>
      <c r="E217" s="469"/>
      <c r="F217" s="469"/>
      <c r="G217" s="470"/>
      <c r="H217" s="469"/>
      <c r="I217" s="469"/>
      <c r="J217" s="469"/>
      <c r="K217" s="469"/>
      <c r="L217" s="471"/>
      <c r="M217" s="471"/>
      <c r="N217" s="34" t="s">
        <v>524</v>
      </c>
    </row>
    <row r="218" spans="1:14" ht="31.5" x14ac:dyDescent="0.25">
      <c r="A218" s="79" t="s">
        <v>154</v>
      </c>
      <c r="B218" s="37" t="s">
        <v>64</v>
      </c>
      <c r="C218" s="5" t="s">
        <v>564</v>
      </c>
      <c r="D218" s="429">
        <f>NHANCONG!G204</f>
        <v>1513.883</v>
      </c>
      <c r="E218" s="430">
        <f>THIETBI!I251</f>
        <v>0</v>
      </c>
      <c r="F218" s="430">
        <f>DUNGCU!H309</f>
        <v>0</v>
      </c>
      <c r="G218" s="429">
        <f>VATLIEU!F256</f>
        <v>0</v>
      </c>
      <c r="H218" s="430">
        <f>H190</f>
        <v>0</v>
      </c>
      <c r="I218" s="429">
        <f>SUM(Table10[[#This Row],[1]:[5]])</f>
        <v>1513.883</v>
      </c>
      <c r="J218" s="429">
        <f>Table10[[#This Row],[6=1+...+5]]*15%</f>
        <v>227.08244999999999</v>
      </c>
      <c r="K218" s="429">
        <f>(Table10[[#This Row],[6=1+...+5]]-Table10[[#This Row],[2]])*15%</f>
        <v>227.08244999999999</v>
      </c>
      <c r="L218" s="429">
        <f>Table10[[#This Row],[6=1+...+5]]+Table10[[#This Row],[7=6*15%]]</f>
        <v>1740.9654500000001</v>
      </c>
      <c r="M218" s="464">
        <f t="shared" ref="M218:M223" si="50">I218-E218+K218</f>
        <v>1740.9654500000001</v>
      </c>
      <c r="N218" s="187"/>
    </row>
    <row r="219" spans="1:14" ht="15.75" x14ac:dyDescent="0.25">
      <c r="A219" s="79" t="s">
        <v>155</v>
      </c>
      <c r="B219" s="37" t="s">
        <v>65</v>
      </c>
      <c r="C219" s="5" t="s">
        <v>564</v>
      </c>
      <c r="D219" s="429">
        <f>NHANCONG!G205</f>
        <v>7898.5199999999995</v>
      </c>
      <c r="E219" s="430">
        <f>THIETBI!I252</f>
        <v>234.375</v>
      </c>
      <c r="F219" s="430">
        <f>DUNGCU!H310</f>
        <v>3575.0108974358977</v>
      </c>
      <c r="G219" s="429">
        <f>VATLIEU!F257</f>
        <v>10663.400000000001</v>
      </c>
      <c r="H219" s="430">
        <f t="shared" ref="H219:H223" si="51">H191</f>
        <v>813.21912000000009</v>
      </c>
      <c r="I219" s="429">
        <f>SUM(Table10[[#This Row],[1]:[5]])</f>
        <v>23184.525017435903</v>
      </c>
      <c r="J219" s="429">
        <f>Table10[[#This Row],[6=1+...+5]]*15%</f>
        <v>3477.6787526153853</v>
      </c>
      <c r="K219" s="429">
        <f>(Table10[[#This Row],[6=1+...+5]]-Table10[[#This Row],[2]])*15%</f>
        <v>3442.5225026153853</v>
      </c>
      <c r="L219" s="429">
        <f>Table10[[#This Row],[6=1+...+5]]+Table10[[#This Row],[7=6*15%]]</f>
        <v>26662.203770051288</v>
      </c>
      <c r="M219" s="464">
        <f t="shared" si="50"/>
        <v>26392.672520051288</v>
      </c>
      <c r="N219" s="187"/>
    </row>
    <row r="220" spans="1:14" ht="15.75" x14ac:dyDescent="0.25">
      <c r="A220" s="79" t="s">
        <v>156</v>
      </c>
      <c r="B220" s="37" t="s">
        <v>66</v>
      </c>
      <c r="C220" s="5" t="s">
        <v>564</v>
      </c>
      <c r="D220" s="429">
        <f>NHANCONG!G206</f>
        <v>15797.039999999999</v>
      </c>
      <c r="E220" s="430">
        <f>THIETBI!I253</f>
        <v>468.75</v>
      </c>
      <c r="F220" s="430">
        <f>DUNGCU!H311</f>
        <v>1995.5237179487181</v>
      </c>
      <c r="G220" s="429">
        <f>VATLIEU!F258</f>
        <v>26830.135000000002</v>
      </c>
      <c r="H220" s="430">
        <f t="shared" si="51"/>
        <v>1252.5811200000001</v>
      </c>
      <c r="I220" s="429">
        <f>SUM(Table10[[#This Row],[1]:[5]])</f>
        <v>46344.029837948721</v>
      </c>
      <c r="J220" s="429">
        <f>Table10[[#This Row],[6=1+...+5]]*15%</f>
        <v>6951.6044756923084</v>
      </c>
      <c r="K220" s="429">
        <f>(Table10[[#This Row],[6=1+...+5]]-Table10[[#This Row],[2]])*15%</f>
        <v>6881.2919756923084</v>
      </c>
      <c r="L220" s="429">
        <f>Table10[[#This Row],[6=1+...+5]]+Table10[[#This Row],[7=6*15%]]</f>
        <v>53295.634313641029</v>
      </c>
      <c r="M220" s="464">
        <f t="shared" si="50"/>
        <v>52756.571813641029</v>
      </c>
      <c r="N220" s="187"/>
    </row>
    <row r="221" spans="1:14" ht="15.75" x14ac:dyDescent="0.25">
      <c r="A221" s="79" t="s">
        <v>157</v>
      </c>
      <c r="B221" s="37" t="s">
        <v>67</v>
      </c>
      <c r="C221" s="5" t="s">
        <v>564</v>
      </c>
      <c r="D221" s="429">
        <f>NHANCONG!G207</f>
        <v>281.54379999999998</v>
      </c>
      <c r="E221" s="430">
        <f>THIETBI!I254</f>
        <v>0</v>
      </c>
      <c r="F221" s="430">
        <f>DUNGCU!H312</f>
        <v>0</v>
      </c>
      <c r="G221" s="429">
        <f>VATLIEU!F259</f>
        <v>0</v>
      </c>
      <c r="H221" s="430">
        <f t="shared" si="51"/>
        <v>0</v>
      </c>
      <c r="I221" s="429">
        <f>SUM(Table10[[#This Row],[1]:[5]])</f>
        <v>281.54379999999998</v>
      </c>
      <c r="J221" s="429">
        <f>Table10[[#This Row],[6=1+...+5]]*15%</f>
        <v>42.231569999999998</v>
      </c>
      <c r="K221" s="429">
        <f>(Table10[[#This Row],[6=1+...+5]]-Table10[[#This Row],[2]])*15%</f>
        <v>42.231569999999998</v>
      </c>
      <c r="L221" s="429">
        <f>Table10[[#This Row],[6=1+...+5]]+Table10[[#This Row],[7=6*15%]]</f>
        <v>323.77536999999995</v>
      </c>
      <c r="M221" s="464">
        <f t="shared" si="50"/>
        <v>323.77536999999995</v>
      </c>
      <c r="N221" s="187"/>
    </row>
    <row r="222" spans="1:14" ht="15.75" x14ac:dyDescent="0.25">
      <c r="A222" s="79" t="s">
        <v>158</v>
      </c>
      <c r="B222" s="37" t="s">
        <v>68</v>
      </c>
      <c r="C222" s="5" t="s">
        <v>564</v>
      </c>
      <c r="D222" s="429">
        <f>NHANCONG!G208</f>
        <v>289.61240000000004</v>
      </c>
      <c r="E222" s="430">
        <f>THIETBI!I255</f>
        <v>0</v>
      </c>
      <c r="F222" s="430">
        <f>DUNGCU!H313</f>
        <v>0</v>
      </c>
      <c r="G222" s="429">
        <f>VATLIEU!F260</f>
        <v>0</v>
      </c>
      <c r="H222" s="430">
        <f t="shared" si="51"/>
        <v>0</v>
      </c>
      <c r="I222" s="429">
        <f>SUM(Table10[[#This Row],[1]:[5]])</f>
        <v>289.61240000000004</v>
      </c>
      <c r="J222" s="429">
        <f>Table10[[#This Row],[6=1+...+5]]*15%</f>
        <v>43.441860000000005</v>
      </c>
      <c r="K222" s="429">
        <f>(Table10[[#This Row],[6=1+...+5]]-Table10[[#This Row],[2]])*15%</f>
        <v>43.441860000000005</v>
      </c>
      <c r="L222" s="429">
        <f>Table10[[#This Row],[6=1+...+5]]+Table10[[#This Row],[7=6*15%]]</f>
        <v>333.05426000000006</v>
      </c>
      <c r="M222" s="464">
        <f t="shared" si="50"/>
        <v>333.05426000000006</v>
      </c>
      <c r="N222" s="187"/>
    </row>
    <row r="223" spans="1:14" ht="25.5" x14ac:dyDescent="0.25">
      <c r="A223" s="79" t="s">
        <v>159</v>
      </c>
      <c r="B223" s="37" t="s">
        <v>69</v>
      </c>
      <c r="C223" s="5"/>
      <c r="D223" s="429">
        <f>NHANCONG!G209</f>
        <v>32061.100000000002</v>
      </c>
      <c r="E223" s="430">
        <f>THIETBI!I256</f>
        <v>803.40909090909088</v>
      </c>
      <c r="F223" s="430">
        <f>DUNGCU!H314</f>
        <v>258.68297435897438</v>
      </c>
      <c r="G223" s="429">
        <f>VATLIEU!F261</f>
        <v>39381.800000000003</v>
      </c>
      <c r="H223" s="430">
        <f t="shared" si="51"/>
        <v>2079.5402880000001</v>
      </c>
      <c r="I223" s="429">
        <f>SUM(Table10[[#This Row],[1]:[5]])</f>
        <v>74584.532353268078</v>
      </c>
      <c r="J223" s="429">
        <f>Table10[[#This Row],[6=1+...+5]]*15%</f>
        <v>11187.679852990212</v>
      </c>
      <c r="K223" s="429">
        <f>(Table10[[#This Row],[6=1+...+5]]-Table10[[#This Row],[2]])*15%</f>
        <v>11067.168489353848</v>
      </c>
      <c r="L223" s="429">
        <f>Table10[[#This Row],[6=1+...+5]]+Table10[[#This Row],[7=6*15%]]</f>
        <v>85772.212206258293</v>
      </c>
      <c r="M223" s="464">
        <f t="shared" si="50"/>
        <v>84848.291751712837</v>
      </c>
      <c r="N223" s="187" t="s">
        <v>328</v>
      </c>
    </row>
    <row r="224" spans="1:14" ht="15.75" x14ac:dyDescent="0.25">
      <c r="A224" s="232" t="s">
        <v>518</v>
      </c>
      <c r="B224" s="203" t="s">
        <v>519</v>
      </c>
      <c r="C224" s="5"/>
      <c r="D224" s="469"/>
      <c r="E224" s="469"/>
      <c r="F224" s="469"/>
      <c r="G224" s="470"/>
      <c r="H224" s="469"/>
      <c r="I224" s="469"/>
      <c r="J224" s="469"/>
      <c r="K224" s="469"/>
      <c r="L224" s="471"/>
      <c r="M224" s="471"/>
      <c r="N224" s="34" t="s">
        <v>525</v>
      </c>
    </row>
    <row r="225" spans="1:14" ht="31.5" x14ac:dyDescent="0.25">
      <c r="A225" s="79" t="s">
        <v>154</v>
      </c>
      <c r="B225" s="37" t="s">
        <v>64</v>
      </c>
      <c r="C225" s="5" t="s">
        <v>564</v>
      </c>
      <c r="D225" s="429">
        <f>NHANCONG!G211</f>
        <v>1513.883</v>
      </c>
      <c r="E225" s="430">
        <f>THIETBI!I258</f>
        <v>0</v>
      </c>
      <c r="F225" s="430">
        <f>DUNGCU!H316</f>
        <v>0</v>
      </c>
      <c r="G225" s="429">
        <f>VATLIEU!F263</f>
        <v>0</v>
      </c>
      <c r="H225" s="430">
        <f>H190</f>
        <v>0</v>
      </c>
      <c r="I225" s="429">
        <f>SUM(Table10[[#This Row],[1]:[5]])</f>
        <v>1513.883</v>
      </c>
      <c r="J225" s="429">
        <f>Table10[[#This Row],[6=1+...+5]]*15%</f>
        <v>227.08244999999999</v>
      </c>
      <c r="K225" s="429">
        <f>(Table10[[#This Row],[6=1+...+5]]-Table10[[#This Row],[2]])*15%</f>
        <v>227.08244999999999</v>
      </c>
      <c r="L225" s="429">
        <f>Table10[[#This Row],[6=1+...+5]]+Table10[[#This Row],[7=6*15%]]</f>
        <v>1740.9654500000001</v>
      </c>
      <c r="M225" s="464">
        <f t="shared" ref="M225:M230" si="52">I225-E225+K225</f>
        <v>1740.9654500000001</v>
      </c>
      <c r="N225" s="187"/>
    </row>
    <row r="226" spans="1:14" ht="15.75" x14ac:dyDescent="0.25">
      <c r="A226" s="79" t="s">
        <v>155</v>
      </c>
      <c r="B226" s="37" t="s">
        <v>65</v>
      </c>
      <c r="C226" s="5" t="s">
        <v>564</v>
      </c>
      <c r="D226" s="429">
        <f>NHANCONG!G212</f>
        <v>15797.039999999999</v>
      </c>
      <c r="E226" s="430">
        <f>THIETBI!I259</f>
        <v>468.75</v>
      </c>
      <c r="F226" s="430">
        <f>DUNGCU!H317</f>
        <v>7150.0217948717955</v>
      </c>
      <c r="G226" s="429">
        <f>VATLIEU!F264</f>
        <v>21326.800000000003</v>
      </c>
      <c r="H226" s="430">
        <f t="shared" ref="H226:H230" si="53">H191</f>
        <v>813.21912000000009</v>
      </c>
      <c r="I226" s="429">
        <f>SUM(Table10[[#This Row],[1]:[5]])</f>
        <v>45555.830914871804</v>
      </c>
      <c r="J226" s="429">
        <f>Table10[[#This Row],[6=1+...+5]]*15%</f>
        <v>6833.3746372307705</v>
      </c>
      <c r="K226" s="429">
        <f>(Table10[[#This Row],[6=1+...+5]]-Table10[[#This Row],[2]])*15%</f>
        <v>6763.0621372307705</v>
      </c>
      <c r="L226" s="429">
        <f>Table10[[#This Row],[6=1+...+5]]+Table10[[#This Row],[7=6*15%]]</f>
        <v>52389.205552102576</v>
      </c>
      <c r="M226" s="464">
        <f t="shared" si="52"/>
        <v>51850.143052102576</v>
      </c>
      <c r="N226" s="187"/>
    </row>
    <row r="227" spans="1:14" ht="15.75" x14ac:dyDescent="0.25">
      <c r="A227" s="79" t="s">
        <v>156</v>
      </c>
      <c r="B227" s="37" t="s">
        <v>66</v>
      </c>
      <c r="C227" s="5" t="s">
        <v>564</v>
      </c>
      <c r="D227" s="429">
        <f>NHANCONG!G213</f>
        <v>31594.079999999998</v>
      </c>
      <c r="E227" s="430">
        <f>THIETBI!I260</f>
        <v>937.5</v>
      </c>
      <c r="F227" s="430">
        <f>DUNGCU!H318</f>
        <v>3991.0474358974361</v>
      </c>
      <c r="G227" s="429">
        <f>VATLIEU!F265</f>
        <v>53660.270000000004</v>
      </c>
      <c r="H227" s="430">
        <f t="shared" si="53"/>
        <v>1252.5811200000001</v>
      </c>
      <c r="I227" s="429">
        <f>SUM(Table10[[#This Row],[1]:[5]])</f>
        <v>91435.47855589744</v>
      </c>
      <c r="J227" s="429">
        <f>Table10[[#This Row],[6=1+...+5]]*15%</f>
        <v>13715.321783384616</v>
      </c>
      <c r="K227" s="429">
        <f>(Table10[[#This Row],[6=1+...+5]]-Table10[[#This Row],[2]])*15%</f>
        <v>13574.696783384616</v>
      </c>
      <c r="L227" s="429">
        <f>Table10[[#This Row],[6=1+...+5]]+Table10[[#This Row],[7=6*15%]]</f>
        <v>105150.80033928205</v>
      </c>
      <c r="M227" s="464">
        <f t="shared" si="52"/>
        <v>104072.67533928205</v>
      </c>
      <c r="N227" s="187"/>
    </row>
    <row r="228" spans="1:14" ht="15.75" x14ac:dyDescent="0.25">
      <c r="A228" s="79" t="s">
        <v>157</v>
      </c>
      <c r="B228" s="37" t="s">
        <v>67</v>
      </c>
      <c r="C228" s="5" t="s">
        <v>564</v>
      </c>
      <c r="D228" s="429">
        <f>NHANCONG!G214</f>
        <v>281.54379999999998</v>
      </c>
      <c r="E228" s="430">
        <f>THIETBI!I261</f>
        <v>0</v>
      </c>
      <c r="F228" s="430">
        <f>DUNGCU!H319</f>
        <v>0</v>
      </c>
      <c r="G228" s="429">
        <f>VATLIEU!F266</f>
        <v>0</v>
      </c>
      <c r="H228" s="430">
        <f t="shared" si="53"/>
        <v>0</v>
      </c>
      <c r="I228" s="429">
        <f>SUM(Table10[[#This Row],[1]:[5]])</f>
        <v>281.54379999999998</v>
      </c>
      <c r="J228" s="429">
        <f>Table10[[#This Row],[6=1+...+5]]*15%</f>
        <v>42.231569999999998</v>
      </c>
      <c r="K228" s="429">
        <f>(Table10[[#This Row],[6=1+...+5]]-Table10[[#This Row],[2]])*15%</f>
        <v>42.231569999999998</v>
      </c>
      <c r="L228" s="429">
        <f>Table10[[#This Row],[6=1+...+5]]+Table10[[#This Row],[7=6*15%]]</f>
        <v>323.77536999999995</v>
      </c>
      <c r="M228" s="464">
        <f t="shared" si="52"/>
        <v>323.77536999999995</v>
      </c>
      <c r="N228" s="187"/>
    </row>
    <row r="229" spans="1:14" ht="15.75" x14ac:dyDescent="0.25">
      <c r="A229" s="79" t="s">
        <v>158</v>
      </c>
      <c r="B229" s="37" t="s">
        <v>68</v>
      </c>
      <c r="C229" s="5" t="s">
        <v>564</v>
      </c>
      <c r="D229" s="429">
        <f>NHANCONG!G215</f>
        <v>289.61240000000004</v>
      </c>
      <c r="E229" s="430">
        <f>THIETBI!I262</f>
        <v>0</v>
      </c>
      <c r="F229" s="430">
        <f>DUNGCU!H320</f>
        <v>0</v>
      </c>
      <c r="G229" s="429">
        <f>VATLIEU!F267</f>
        <v>0</v>
      </c>
      <c r="H229" s="430">
        <f t="shared" si="53"/>
        <v>0</v>
      </c>
      <c r="I229" s="429">
        <f>SUM(Table10[[#This Row],[1]:[5]])</f>
        <v>289.61240000000004</v>
      </c>
      <c r="J229" s="429">
        <f>Table10[[#This Row],[6=1+...+5]]*15%</f>
        <v>43.441860000000005</v>
      </c>
      <c r="K229" s="429">
        <f>(Table10[[#This Row],[6=1+...+5]]-Table10[[#This Row],[2]])*15%</f>
        <v>43.441860000000005</v>
      </c>
      <c r="L229" s="429">
        <f>Table10[[#This Row],[6=1+...+5]]+Table10[[#This Row],[7=6*15%]]</f>
        <v>333.05426000000006</v>
      </c>
      <c r="M229" s="464">
        <f t="shared" si="52"/>
        <v>333.05426000000006</v>
      </c>
      <c r="N229" s="187"/>
    </row>
    <row r="230" spans="1:14" ht="25.5" x14ac:dyDescent="0.25">
      <c r="A230" s="79" t="s">
        <v>159</v>
      </c>
      <c r="B230" s="37" t="s">
        <v>69</v>
      </c>
      <c r="C230" s="5"/>
      <c r="D230" s="429">
        <f>NHANCONG!G216</f>
        <v>32061.100000000002</v>
      </c>
      <c r="E230" s="430">
        <f>THIETBI!I263</f>
        <v>803.40909090909088</v>
      </c>
      <c r="F230" s="430">
        <f>DUNGCU!H321</f>
        <v>258.68297435897438</v>
      </c>
      <c r="G230" s="429">
        <f>VATLIEU!F268</f>
        <v>39381.800000000003</v>
      </c>
      <c r="H230" s="430">
        <f t="shared" si="53"/>
        <v>2079.5402880000001</v>
      </c>
      <c r="I230" s="429">
        <f>SUM(Table10[[#This Row],[1]:[5]])</f>
        <v>74584.532353268078</v>
      </c>
      <c r="J230" s="429">
        <f>Table10[[#This Row],[6=1+...+5]]*15%</f>
        <v>11187.679852990212</v>
      </c>
      <c r="K230" s="429">
        <f>(Table10[[#This Row],[6=1+...+5]]-Table10[[#This Row],[2]])*15%</f>
        <v>11067.168489353848</v>
      </c>
      <c r="L230" s="429">
        <f>Table10[[#This Row],[6=1+...+5]]+Table10[[#This Row],[7=6*15%]]</f>
        <v>85772.212206258293</v>
      </c>
      <c r="M230" s="464">
        <f t="shared" si="52"/>
        <v>84848.291751712837</v>
      </c>
      <c r="N230" s="187" t="s">
        <v>328</v>
      </c>
    </row>
    <row r="231" spans="1:14" ht="15.75" x14ac:dyDescent="0.25">
      <c r="A231" s="78"/>
      <c r="B231" s="421" t="s">
        <v>615</v>
      </c>
      <c r="C231" s="5"/>
      <c r="D231" s="430"/>
      <c r="E231" s="430"/>
      <c r="F231" s="430"/>
      <c r="G231" s="429"/>
      <c r="H231" s="430"/>
      <c r="I231" s="430"/>
      <c r="J231" s="430"/>
      <c r="K231" s="430"/>
      <c r="L231" s="430"/>
      <c r="M231" s="472"/>
      <c r="N231" s="386" t="s">
        <v>641</v>
      </c>
    </row>
    <row r="232" spans="1:14" ht="15.75" x14ac:dyDescent="0.25">
      <c r="A232" s="232" t="s">
        <v>504</v>
      </c>
      <c r="B232" s="203" t="s">
        <v>505</v>
      </c>
      <c r="C232" s="5"/>
      <c r="D232" s="469"/>
      <c r="E232" s="469"/>
      <c r="F232" s="469"/>
      <c r="G232" s="470"/>
      <c r="H232" s="469"/>
      <c r="I232" s="469"/>
      <c r="J232" s="469"/>
      <c r="K232" s="469"/>
      <c r="L232" s="471"/>
      <c r="M232" s="471"/>
      <c r="N232" s="224"/>
    </row>
    <row r="233" spans="1:14" s="372" customFormat="1" ht="31.5" x14ac:dyDescent="0.25">
      <c r="A233" s="79" t="s">
        <v>154</v>
      </c>
      <c r="B233" s="37" t="s">
        <v>64</v>
      </c>
      <c r="C233" s="5" t="s">
        <v>564</v>
      </c>
      <c r="D233" s="429">
        <f>NHANCONG!G219</f>
        <v>1513.883</v>
      </c>
      <c r="E233" s="430">
        <f>THIETBI!I266</f>
        <v>0</v>
      </c>
      <c r="F233" s="430">
        <f>DUNGCU!H324</f>
        <v>0</v>
      </c>
      <c r="G233" s="429">
        <f>VATLIEU!F271</f>
        <v>0</v>
      </c>
      <c r="H233" s="430">
        <f>H190</f>
        <v>0</v>
      </c>
      <c r="I233" s="429">
        <f>SUM(Table10[[#This Row],[1]:[5]])</f>
        <v>1513.883</v>
      </c>
      <c r="J233" s="429">
        <f>Table10[[#This Row],[6=1+...+5]]*15%</f>
        <v>227.08244999999999</v>
      </c>
      <c r="K233" s="429">
        <f>(Table10[[#This Row],[6=1+...+5]]-Table10[[#This Row],[2]])*15%</f>
        <v>227.08244999999999</v>
      </c>
      <c r="L233" s="429">
        <f>Table10[[#This Row],[6=1+...+5]]+Table10[[#This Row],[7=6*15%]]</f>
        <v>1740.9654500000001</v>
      </c>
      <c r="M233" s="464">
        <f t="shared" ref="M233:M238" si="54">I233-E233+K233</f>
        <v>1740.9654500000001</v>
      </c>
      <c r="N233" s="187"/>
    </row>
    <row r="234" spans="1:14" s="372" customFormat="1" ht="15.75" x14ac:dyDescent="0.25">
      <c r="A234" s="79" t="s">
        <v>155</v>
      </c>
      <c r="B234" s="37" t="s">
        <v>65</v>
      </c>
      <c r="C234" s="5" t="s">
        <v>564</v>
      </c>
      <c r="D234" s="429">
        <f>NHANCONG!G220</f>
        <v>3159.4079999999999</v>
      </c>
      <c r="E234" s="430">
        <f>THIETBI!I267</f>
        <v>93.75</v>
      </c>
      <c r="F234" s="430">
        <f>DUNGCU!H325</f>
        <v>1430.0043589743591</v>
      </c>
      <c r="G234" s="429">
        <f>VATLIEU!F272</f>
        <v>4265.3600000000006</v>
      </c>
      <c r="H234" s="430">
        <f t="shared" ref="H234:H238" si="55">H191</f>
        <v>813.21912000000009</v>
      </c>
      <c r="I234" s="429">
        <f>SUM(Table10[[#This Row],[1]:[5]])</f>
        <v>9761.7414789743598</v>
      </c>
      <c r="J234" s="429">
        <f>Table10[[#This Row],[6=1+...+5]]*15%</f>
        <v>1464.2612218461538</v>
      </c>
      <c r="K234" s="429">
        <f>(Table10[[#This Row],[6=1+...+5]]-Table10[[#This Row],[2]])*15%</f>
        <v>1450.1987218461538</v>
      </c>
      <c r="L234" s="429">
        <f>Table10[[#This Row],[6=1+...+5]]+Table10[[#This Row],[7=6*15%]]</f>
        <v>11226.002700820514</v>
      </c>
      <c r="M234" s="464">
        <f t="shared" si="54"/>
        <v>11118.190200820514</v>
      </c>
      <c r="N234" s="187"/>
    </row>
    <row r="235" spans="1:14" s="372" customFormat="1" ht="15.75" x14ac:dyDescent="0.25">
      <c r="A235" s="79" t="s">
        <v>156</v>
      </c>
      <c r="B235" s="37" t="s">
        <v>66</v>
      </c>
      <c r="C235" s="5" t="s">
        <v>564</v>
      </c>
      <c r="D235" s="429">
        <f>NHANCONG!G221</f>
        <v>6318.8159999999998</v>
      </c>
      <c r="E235" s="430">
        <f>THIETBI!I268</f>
        <v>187.5</v>
      </c>
      <c r="F235" s="430">
        <f>DUNGCU!H326</f>
        <v>798.20948717948727</v>
      </c>
      <c r="G235" s="429">
        <f>VATLIEU!F273</f>
        <v>10732.054</v>
      </c>
      <c r="H235" s="430">
        <f t="shared" si="55"/>
        <v>1252.5811200000001</v>
      </c>
      <c r="I235" s="429">
        <f>SUM(Table10[[#This Row],[1]:[5]])</f>
        <v>19289.160607179485</v>
      </c>
      <c r="J235" s="429">
        <f>Table10[[#This Row],[6=1+...+5]]*15%</f>
        <v>2893.3740910769225</v>
      </c>
      <c r="K235" s="429">
        <f>(Table10[[#This Row],[6=1+...+5]]-Table10[[#This Row],[2]])*15%</f>
        <v>2865.2490910769225</v>
      </c>
      <c r="L235" s="429">
        <f>Table10[[#This Row],[6=1+...+5]]+Table10[[#This Row],[7=6*15%]]</f>
        <v>22182.534698256408</v>
      </c>
      <c r="M235" s="464">
        <f t="shared" si="54"/>
        <v>21966.909698256408</v>
      </c>
      <c r="N235" s="187"/>
    </row>
    <row r="236" spans="1:14" s="372" customFormat="1" ht="15.75" x14ac:dyDescent="0.25">
      <c r="A236" s="79" t="s">
        <v>157</v>
      </c>
      <c r="B236" s="37" t="s">
        <v>67</v>
      </c>
      <c r="C236" s="5" t="s">
        <v>564</v>
      </c>
      <c r="D236" s="429">
        <f>NHANCONG!G222</f>
        <v>281.54379999999998</v>
      </c>
      <c r="E236" s="430">
        <f>THIETBI!I269</f>
        <v>0</v>
      </c>
      <c r="F236" s="430">
        <f>DUNGCU!H327</f>
        <v>0</v>
      </c>
      <c r="G236" s="429">
        <f>VATLIEU!F274</f>
        <v>0</v>
      </c>
      <c r="H236" s="430">
        <f t="shared" si="55"/>
        <v>0</v>
      </c>
      <c r="I236" s="429">
        <f>SUM(Table10[[#This Row],[1]:[5]])</f>
        <v>281.54379999999998</v>
      </c>
      <c r="J236" s="429">
        <f>Table10[[#This Row],[6=1+...+5]]*15%</f>
        <v>42.231569999999998</v>
      </c>
      <c r="K236" s="429">
        <f>(Table10[[#This Row],[6=1+...+5]]-Table10[[#This Row],[2]])*15%</f>
        <v>42.231569999999998</v>
      </c>
      <c r="L236" s="429">
        <f>Table10[[#This Row],[6=1+...+5]]+Table10[[#This Row],[7=6*15%]]</f>
        <v>323.77536999999995</v>
      </c>
      <c r="M236" s="464">
        <f t="shared" si="54"/>
        <v>323.77536999999995</v>
      </c>
      <c r="N236" s="187"/>
    </row>
    <row r="237" spans="1:14" s="372" customFormat="1" ht="15.75" x14ac:dyDescent="0.25">
      <c r="A237" s="79" t="s">
        <v>158</v>
      </c>
      <c r="B237" s="37" t="s">
        <v>68</v>
      </c>
      <c r="C237" s="5" t="s">
        <v>564</v>
      </c>
      <c r="D237" s="429">
        <f>NHANCONG!G223</f>
        <v>289.61240000000004</v>
      </c>
      <c r="E237" s="430">
        <f>THIETBI!I270</f>
        <v>0</v>
      </c>
      <c r="F237" s="430">
        <f>DUNGCU!H328</f>
        <v>0</v>
      </c>
      <c r="G237" s="429">
        <f>VATLIEU!F275</f>
        <v>0</v>
      </c>
      <c r="H237" s="430">
        <f t="shared" si="55"/>
        <v>0</v>
      </c>
      <c r="I237" s="429">
        <f>SUM(Table10[[#This Row],[1]:[5]])</f>
        <v>289.61240000000004</v>
      </c>
      <c r="J237" s="429">
        <f>Table10[[#This Row],[6=1+...+5]]*15%</f>
        <v>43.441860000000005</v>
      </c>
      <c r="K237" s="429">
        <f>(Table10[[#This Row],[6=1+...+5]]-Table10[[#This Row],[2]])*15%</f>
        <v>43.441860000000005</v>
      </c>
      <c r="L237" s="429">
        <f>Table10[[#This Row],[6=1+...+5]]+Table10[[#This Row],[7=6*15%]]</f>
        <v>333.05426000000006</v>
      </c>
      <c r="M237" s="464">
        <f t="shared" si="54"/>
        <v>333.05426000000006</v>
      </c>
      <c r="N237" s="187"/>
    </row>
    <row r="238" spans="1:14" ht="25.5" x14ac:dyDescent="0.25">
      <c r="A238" s="79" t="s">
        <v>159</v>
      </c>
      <c r="B238" s="37" t="s">
        <v>69</v>
      </c>
      <c r="C238" s="5" t="s">
        <v>576</v>
      </c>
      <c r="D238" s="429">
        <f>NHANCONG!G224</f>
        <v>32061.100000000002</v>
      </c>
      <c r="E238" s="430">
        <f>THIETBI!I271</f>
        <v>803.40909090909088</v>
      </c>
      <c r="F238" s="430">
        <f>DUNGCU!H329</f>
        <v>258.68297435897438</v>
      </c>
      <c r="G238" s="429">
        <f>VATLIEU!F276</f>
        <v>39381.800000000003</v>
      </c>
      <c r="H238" s="430">
        <f t="shared" si="55"/>
        <v>2079.5402880000001</v>
      </c>
      <c r="I238" s="429">
        <f>SUM(Table10[[#This Row],[1]:[5]])</f>
        <v>74584.532353268078</v>
      </c>
      <c r="J238" s="429">
        <f>Table10[[#This Row],[6=1+...+5]]*15%</f>
        <v>11187.679852990212</v>
      </c>
      <c r="K238" s="429">
        <f>(Table10[[#This Row],[6=1+...+5]]-Table10[[#This Row],[2]])*15%</f>
        <v>11067.168489353848</v>
      </c>
      <c r="L238" s="429">
        <f>Table10[[#This Row],[6=1+...+5]]+Table10[[#This Row],[7=6*15%]]</f>
        <v>85772.212206258293</v>
      </c>
      <c r="M238" s="464">
        <f t="shared" si="54"/>
        <v>84848.291751712837</v>
      </c>
      <c r="N238" s="187" t="s">
        <v>328</v>
      </c>
    </row>
    <row r="239" spans="1:14" ht="15.75" x14ac:dyDescent="0.25">
      <c r="A239" s="232" t="s">
        <v>506</v>
      </c>
      <c r="B239" s="203" t="s">
        <v>507</v>
      </c>
      <c r="C239" s="5"/>
      <c r="D239" s="469"/>
      <c r="E239" s="469"/>
      <c r="F239" s="469"/>
      <c r="G239" s="470"/>
      <c r="H239" s="469"/>
      <c r="I239" s="469"/>
      <c r="J239" s="469"/>
      <c r="K239" s="469"/>
      <c r="L239" s="471"/>
      <c r="M239" s="471"/>
      <c r="N239" s="34" t="s">
        <v>521</v>
      </c>
    </row>
    <row r="240" spans="1:14" ht="31.5" x14ac:dyDescent="0.25">
      <c r="A240" s="79" t="s">
        <v>154</v>
      </c>
      <c r="B240" s="37" t="s">
        <v>64</v>
      </c>
      <c r="C240" s="5" t="s">
        <v>564</v>
      </c>
      <c r="D240" s="429">
        <f>NHANCONG!G226</f>
        <v>1513.883</v>
      </c>
      <c r="E240" s="430">
        <f>THIETBI!I273</f>
        <v>0</v>
      </c>
      <c r="F240" s="430">
        <f>DUNGCU!H331</f>
        <v>0</v>
      </c>
      <c r="G240" s="429">
        <f>VATLIEU!F278</f>
        <v>0</v>
      </c>
      <c r="H240" s="430">
        <f>H190</f>
        <v>0</v>
      </c>
      <c r="I240" s="429">
        <f>SUM(Table10[[#This Row],[1]:[5]])</f>
        <v>1513.883</v>
      </c>
      <c r="J240" s="429">
        <f>Table10[[#This Row],[6=1+...+5]]*15%</f>
        <v>227.08244999999999</v>
      </c>
      <c r="K240" s="429">
        <f>(Table10[[#This Row],[6=1+...+5]]-Table10[[#This Row],[2]])*15%</f>
        <v>227.08244999999999</v>
      </c>
      <c r="L240" s="429">
        <f>Table10[[#This Row],[6=1+...+5]]+Table10[[#This Row],[7=6*15%]]</f>
        <v>1740.9654500000001</v>
      </c>
      <c r="M240" s="464">
        <f t="shared" ref="M240:M245" si="56">I240-E240+K240</f>
        <v>1740.9654500000001</v>
      </c>
      <c r="N240" s="187"/>
    </row>
    <row r="241" spans="1:14" ht="15.75" x14ac:dyDescent="0.25">
      <c r="A241" s="79" t="s">
        <v>155</v>
      </c>
      <c r="B241" s="37" t="s">
        <v>65</v>
      </c>
      <c r="C241" s="5" t="s">
        <v>564</v>
      </c>
      <c r="D241" s="429">
        <f>NHANCONG!G227</f>
        <v>2527.5264000000002</v>
      </c>
      <c r="E241" s="430">
        <f>THIETBI!I274</f>
        <v>75</v>
      </c>
      <c r="F241" s="430">
        <f>DUNGCU!H332</f>
        <v>1144.0034871794874</v>
      </c>
      <c r="G241" s="429">
        <f>VATLIEU!F279</f>
        <v>3412.2880000000005</v>
      </c>
      <c r="H241" s="430">
        <f t="shared" ref="H241:H245" si="57">H191</f>
        <v>813.21912000000009</v>
      </c>
      <c r="I241" s="429">
        <f>SUM(Table10[[#This Row],[1]:[5]])</f>
        <v>7972.0370071794878</v>
      </c>
      <c r="J241" s="429">
        <f>Table10[[#This Row],[6=1+...+5]]*15%</f>
        <v>1195.8055510769232</v>
      </c>
      <c r="K241" s="429">
        <f>(Table10[[#This Row],[6=1+...+5]]-Table10[[#This Row],[2]])*15%</f>
        <v>1184.5555510769232</v>
      </c>
      <c r="L241" s="429">
        <f>Table10[[#This Row],[6=1+...+5]]+Table10[[#This Row],[7=6*15%]]</f>
        <v>9167.8425582564105</v>
      </c>
      <c r="M241" s="464">
        <f t="shared" si="56"/>
        <v>9081.5925582564105</v>
      </c>
      <c r="N241" s="187"/>
    </row>
    <row r="242" spans="1:14" ht="15.75" x14ac:dyDescent="0.25">
      <c r="A242" s="79" t="s">
        <v>156</v>
      </c>
      <c r="B242" s="37" t="s">
        <v>66</v>
      </c>
      <c r="C242" s="5" t="s">
        <v>564</v>
      </c>
      <c r="D242" s="429">
        <f>NHANCONG!G228</f>
        <v>5055.0528000000004</v>
      </c>
      <c r="E242" s="430">
        <f>THIETBI!I275</f>
        <v>150</v>
      </c>
      <c r="F242" s="430">
        <f>DUNGCU!H333</f>
        <v>638.56758974358991</v>
      </c>
      <c r="G242" s="429">
        <f>VATLIEU!F280</f>
        <v>8585.6432000000004</v>
      </c>
      <c r="H242" s="430">
        <f t="shared" si="57"/>
        <v>1252.5811200000001</v>
      </c>
      <c r="I242" s="429">
        <f>SUM(Table10[[#This Row],[1]:[5]])</f>
        <v>15681.844709743591</v>
      </c>
      <c r="J242" s="429">
        <f>Table10[[#This Row],[6=1+...+5]]*15%</f>
        <v>2352.2767064615387</v>
      </c>
      <c r="K242" s="429">
        <f>(Table10[[#This Row],[6=1+...+5]]-Table10[[#This Row],[2]])*15%</f>
        <v>2329.7767064615387</v>
      </c>
      <c r="L242" s="429">
        <f>Table10[[#This Row],[6=1+...+5]]+Table10[[#This Row],[7=6*15%]]</f>
        <v>18034.121416205129</v>
      </c>
      <c r="M242" s="464">
        <f t="shared" si="56"/>
        <v>17861.621416205129</v>
      </c>
      <c r="N242" s="187"/>
    </row>
    <row r="243" spans="1:14" ht="15.75" x14ac:dyDescent="0.25">
      <c r="A243" s="79" t="s">
        <v>157</v>
      </c>
      <c r="B243" s="37" t="s">
        <v>67</v>
      </c>
      <c r="C243" s="5" t="s">
        <v>564</v>
      </c>
      <c r="D243" s="429">
        <f>NHANCONG!G229</f>
        <v>281.54379999999998</v>
      </c>
      <c r="E243" s="430">
        <f>THIETBI!I276</f>
        <v>0</v>
      </c>
      <c r="F243" s="430">
        <f>DUNGCU!H334</f>
        <v>0</v>
      </c>
      <c r="G243" s="429">
        <f>VATLIEU!F281</f>
        <v>0</v>
      </c>
      <c r="H243" s="430">
        <f t="shared" si="57"/>
        <v>0</v>
      </c>
      <c r="I243" s="429">
        <f>SUM(Table10[[#This Row],[1]:[5]])</f>
        <v>281.54379999999998</v>
      </c>
      <c r="J243" s="429">
        <f>Table10[[#This Row],[6=1+...+5]]*15%</f>
        <v>42.231569999999998</v>
      </c>
      <c r="K243" s="429">
        <f>(Table10[[#This Row],[6=1+...+5]]-Table10[[#This Row],[2]])*15%</f>
        <v>42.231569999999998</v>
      </c>
      <c r="L243" s="429">
        <f>Table10[[#This Row],[6=1+...+5]]+Table10[[#This Row],[7=6*15%]]</f>
        <v>323.77536999999995</v>
      </c>
      <c r="M243" s="464">
        <f t="shared" si="56"/>
        <v>323.77536999999995</v>
      </c>
      <c r="N243" s="187"/>
    </row>
    <row r="244" spans="1:14" ht="15.75" x14ac:dyDescent="0.25">
      <c r="A244" s="79" t="s">
        <v>158</v>
      </c>
      <c r="B244" s="37" t="s">
        <v>68</v>
      </c>
      <c r="C244" s="5" t="s">
        <v>564</v>
      </c>
      <c r="D244" s="429">
        <f>NHANCONG!G230</f>
        <v>289.61240000000004</v>
      </c>
      <c r="E244" s="430">
        <f>THIETBI!I277</f>
        <v>0</v>
      </c>
      <c r="F244" s="430">
        <f>DUNGCU!H335</f>
        <v>0</v>
      </c>
      <c r="G244" s="429">
        <f>VATLIEU!F282</f>
        <v>0</v>
      </c>
      <c r="H244" s="430">
        <f t="shared" si="57"/>
        <v>0</v>
      </c>
      <c r="I244" s="429">
        <f>SUM(Table10[[#This Row],[1]:[5]])</f>
        <v>289.61240000000004</v>
      </c>
      <c r="J244" s="429">
        <f>Table10[[#This Row],[6=1+...+5]]*15%</f>
        <v>43.441860000000005</v>
      </c>
      <c r="K244" s="429">
        <f>(Table10[[#This Row],[6=1+...+5]]-Table10[[#This Row],[2]])*15%</f>
        <v>43.441860000000005</v>
      </c>
      <c r="L244" s="429">
        <f>Table10[[#This Row],[6=1+...+5]]+Table10[[#This Row],[7=6*15%]]</f>
        <v>333.05426000000006</v>
      </c>
      <c r="M244" s="464">
        <f t="shared" si="56"/>
        <v>333.05426000000006</v>
      </c>
      <c r="N244" s="187"/>
    </row>
    <row r="245" spans="1:14" ht="25.5" x14ac:dyDescent="0.25">
      <c r="A245" s="79" t="s">
        <v>159</v>
      </c>
      <c r="B245" s="37" t="s">
        <v>69</v>
      </c>
      <c r="C245" s="5"/>
      <c r="D245" s="429">
        <f>NHANCONG!G231</f>
        <v>32061.100000000002</v>
      </c>
      <c r="E245" s="430">
        <f>THIETBI!I278</f>
        <v>803.40909090909088</v>
      </c>
      <c r="F245" s="430">
        <f>DUNGCU!H336</f>
        <v>258.68297435897438</v>
      </c>
      <c r="G245" s="429">
        <f>VATLIEU!F283</f>
        <v>39381.800000000003</v>
      </c>
      <c r="H245" s="430">
        <f t="shared" si="57"/>
        <v>2079.5402880000001</v>
      </c>
      <c r="I245" s="429">
        <f>SUM(Table10[[#This Row],[1]:[5]])</f>
        <v>74584.532353268078</v>
      </c>
      <c r="J245" s="429">
        <f>Table10[[#This Row],[6=1+...+5]]*15%</f>
        <v>11187.679852990212</v>
      </c>
      <c r="K245" s="429">
        <f>(Table10[[#This Row],[6=1+...+5]]-Table10[[#This Row],[2]])*15%</f>
        <v>11067.168489353848</v>
      </c>
      <c r="L245" s="429">
        <f>Table10[[#This Row],[6=1+...+5]]+Table10[[#This Row],[7=6*15%]]</f>
        <v>85772.212206258293</v>
      </c>
      <c r="M245" s="464">
        <f t="shared" si="56"/>
        <v>84848.291751712837</v>
      </c>
      <c r="N245" s="187" t="s">
        <v>328</v>
      </c>
    </row>
    <row r="246" spans="1:14" ht="15.75" x14ac:dyDescent="0.25">
      <c r="A246" s="232" t="s">
        <v>509</v>
      </c>
      <c r="B246" s="203" t="s">
        <v>510</v>
      </c>
      <c r="C246" s="5"/>
      <c r="D246" s="469"/>
      <c r="E246" s="469"/>
      <c r="F246" s="469"/>
      <c r="G246" s="470"/>
      <c r="H246" s="469"/>
      <c r="I246" s="469"/>
      <c r="J246" s="469"/>
      <c r="K246" s="469"/>
      <c r="L246" s="471"/>
      <c r="M246" s="471"/>
      <c r="N246" s="34" t="s">
        <v>522</v>
      </c>
    </row>
    <row r="247" spans="1:14" ht="31.5" x14ac:dyDescent="0.25">
      <c r="A247" s="79" t="s">
        <v>154</v>
      </c>
      <c r="B247" s="37" t="s">
        <v>64</v>
      </c>
      <c r="C247" s="5" t="s">
        <v>564</v>
      </c>
      <c r="D247" s="429">
        <f>NHANCONG!G233</f>
        <v>1513.883</v>
      </c>
      <c r="E247" s="430">
        <f>THIETBI!I280</f>
        <v>0</v>
      </c>
      <c r="F247" s="430">
        <f>DUNGCU!H338</f>
        <v>0</v>
      </c>
      <c r="G247" s="429">
        <f>VATLIEU!F285</f>
        <v>0</v>
      </c>
      <c r="H247" s="430">
        <f>H190</f>
        <v>0</v>
      </c>
      <c r="I247" s="429">
        <f>SUM(Table10[[#This Row],[1]:[5]])</f>
        <v>1513.883</v>
      </c>
      <c r="J247" s="429">
        <f>Table10[[#This Row],[6=1+...+5]]*15%</f>
        <v>227.08244999999999</v>
      </c>
      <c r="K247" s="429">
        <f>(Table10[[#This Row],[6=1+...+5]]-Table10[[#This Row],[2]])*15%</f>
        <v>227.08244999999999</v>
      </c>
      <c r="L247" s="429">
        <f>Table10[[#This Row],[6=1+...+5]]+Table10[[#This Row],[7=6*15%]]</f>
        <v>1740.9654500000001</v>
      </c>
      <c r="M247" s="464">
        <f t="shared" ref="M247:M252" si="58">I247-E247+K247</f>
        <v>1740.9654500000001</v>
      </c>
      <c r="N247" s="187"/>
    </row>
    <row r="248" spans="1:14" ht="15.75" x14ac:dyDescent="0.25">
      <c r="A248" s="79" t="s">
        <v>155</v>
      </c>
      <c r="B248" s="37" t="s">
        <v>65</v>
      </c>
      <c r="C248" s="5" t="s">
        <v>564</v>
      </c>
      <c r="D248" s="429">
        <f>NHANCONG!G234</f>
        <v>4739.1120000000001</v>
      </c>
      <c r="E248" s="430">
        <f>THIETBI!I281</f>
        <v>140.625</v>
      </c>
      <c r="F248" s="430">
        <f>DUNGCU!H339</f>
        <v>2145.0065384615386</v>
      </c>
      <c r="G248" s="429">
        <f>VATLIEU!F286</f>
        <v>6398.0400000000009</v>
      </c>
      <c r="H248" s="430">
        <f t="shared" ref="H248:H252" si="59">H191</f>
        <v>813.21912000000009</v>
      </c>
      <c r="I248" s="429">
        <f>SUM(Table10[[#This Row],[1]:[5]])</f>
        <v>14236.002658461539</v>
      </c>
      <c r="J248" s="429">
        <f>Table10[[#This Row],[6=1+...+5]]*15%</f>
        <v>2135.4003987692308</v>
      </c>
      <c r="K248" s="429">
        <f>(Table10[[#This Row],[6=1+...+5]]-Table10[[#This Row],[2]])*15%</f>
        <v>2114.3066487692308</v>
      </c>
      <c r="L248" s="429">
        <f>Table10[[#This Row],[6=1+...+5]]+Table10[[#This Row],[7=6*15%]]</f>
        <v>16371.403057230769</v>
      </c>
      <c r="M248" s="464">
        <f t="shared" si="58"/>
        <v>16209.684307230769</v>
      </c>
      <c r="N248" s="187"/>
    </row>
    <row r="249" spans="1:14" ht="15.75" x14ac:dyDescent="0.25">
      <c r="A249" s="79" t="s">
        <v>156</v>
      </c>
      <c r="B249" s="37" t="s">
        <v>66</v>
      </c>
      <c r="C249" s="5" t="s">
        <v>564</v>
      </c>
      <c r="D249" s="429">
        <f>NHANCONG!G235</f>
        <v>9478.2240000000002</v>
      </c>
      <c r="E249" s="430">
        <f>THIETBI!I282</f>
        <v>281.25</v>
      </c>
      <c r="F249" s="430">
        <f>DUNGCU!H340</f>
        <v>1197.314230769231</v>
      </c>
      <c r="G249" s="429">
        <f>VATLIEU!F287</f>
        <v>16098.081</v>
      </c>
      <c r="H249" s="430">
        <f t="shared" si="59"/>
        <v>1252.5811200000001</v>
      </c>
      <c r="I249" s="429">
        <f>SUM(Table10[[#This Row],[1]:[5]])</f>
        <v>28307.450350769232</v>
      </c>
      <c r="J249" s="429">
        <f>Table10[[#This Row],[6=1+...+5]]*15%</f>
        <v>4246.1175526153847</v>
      </c>
      <c r="K249" s="429">
        <f>(Table10[[#This Row],[6=1+...+5]]-Table10[[#This Row],[2]])*15%</f>
        <v>4203.9300526153847</v>
      </c>
      <c r="L249" s="429">
        <f>Table10[[#This Row],[6=1+...+5]]+Table10[[#This Row],[7=6*15%]]</f>
        <v>32553.567903384617</v>
      </c>
      <c r="M249" s="464">
        <f t="shared" si="58"/>
        <v>32230.130403384617</v>
      </c>
      <c r="N249" s="187"/>
    </row>
    <row r="250" spans="1:14" ht="15.75" x14ac:dyDescent="0.25">
      <c r="A250" s="79" t="s">
        <v>157</v>
      </c>
      <c r="B250" s="37" t="s">
        <v>67</v>
      </c>
      <c r="C250" s="5" t="s">
        <v>564</v>
      </c>
      <c r="D250" s="429">
        <f>NHANCONG!G236</f>
        <v>281.54379999999998</v>
      </c>
      <c r="E250" s="430">
        <f>THIETBI!I283</f>
        <v>0</v>
      </c>
      <c r="F250" s="430">
        <f>DUNGCU!H341</f>
        <v>0</v>
      </c>
      <c r="G250" s="429">
        <f>VATLIEU!F288</f>
        <v>0</v>
      </c>
      <c r="H250" s="430">
        <f t="shared" si="59"/>
        <v>0</v>
      </c>
      <c r="I250" s="429">
        <f>SUM(Table10[[#This Row],[1]:[5]])</f>
        <v>281.54379999999998</v>
      </c>
      <c r="J250" s="429">
        <f>Table10[[#This Row],[6=1+...+5]]*15%</f>
        <v>42.231569999999998</v>
      </c>
      <c r="K250" s="429">
        <f>(Table10[[#This Row],[6=1+...+5]]-Table10[[#This Row],[2]])*15%</f>
        <v>42.231569999999998</v>
      </c>
      <c r="L250" s="429">
        <f>Table10[[#This Row],[6=1+...+5]]+Table10[[#This Row],[7=6*15%]]</f>
        <v>323.77536999999995</v>
      </c>
      <c r="M250" s="464">
        <f t="shared" si="58"/>
        <v>323.77536999999995</v>
      </c>
      <c r="N250" s="187"/>
    </row>
    <row r="251" spans="1:14" ht="15.75" x14ac:dyDescent="0.25">
      <c r="A251" s="79" t="s">
        <v>158</v>
      </c>
      <c r="B251" s="37" t="s">
        <v>68</v>
      </c>
      <c r="C251" s="5" t="s">
        <v>564</v>
      </c>
      <c r="D251" s="429">
        <f>NHANCONG!G237</f>
        <v>289.61240000000004</v>
      </c>
      <c r="E251" s="430">
        <f>THIETBI!I284</f>
        <v>0</v>
      </c>
      <c r="F251" s="430">
        <f>DUNGCU!H342</f>
        <v>0</v>
      </c>
      <c r="G251" s="429">
        <f>VATLIEU!F289</f>
        <v>0</v>
      </c>
      <c r="H251" s="430">
        <f t="shared" si="59"/>
        <v>0</v>
      </c>
      <c r="I251" s="429">
        <f>SUM(Table10[[#This Row],[1]:[5]])</f>
        <v>289.61240000000004</v>
      </c>
      <c r="J251" s="429">
        <f>Table10[[#This Row],[6=1+...+5]]*15%</f>
        <v>43.441860000000005</v>
      </c>
      <c r="K251" s="429">
        <f>(Table10[[#This Row],[6=1+...+5]]-Table10[[#This Row],[2]])*15%</f>
        <v>43.441860000000005</v>
      </c>
      <c r="L251" s="429">
        <f>Table10[[#This Row],[6=1+...+5]]+Table10[[#This Row],[7=6*15%]]</f>
        <v>333.05426000000006</v>
      </c>
      <c r="M251" s="464">
        <f t="shared" si="58"/>
        <v>333.05426000000006</v>
      </c>
      <c r="N251" s="187"/>
    </row>
    <row r="252" spans="1:14" ht="25.5" x14ac:dyDescent="0.25">
      <c r="A252" s="79" t="s">
        <v>159</v>
      </c>
      <c r="B252" s="37" t="s">
        <v>69</v>
      </c>
      <c r="C252" s="5"/>
      <c r="D252" s="429">
        <f>NHANCONG!G238</f>
        <v>32061.100000000002</v>
      </c>
      <c r="E252" s="430">
        <f>THIETBI!I285</f>
        <v>803.40909090909088</v>
      </c>
      <c r="F252" s="430">
        <f>DUNGCU!H343</f>
        <v>258.68297435897438</v>
      </c>
      <c r="G252" s="429">
        <f>VATLIEU!F290</f>
        <v>39381.800000000003</v>
      </c>
      <c r="H252" s="430">
        <f t="shared" si="59"/>
        <v>2079.5402880000001</v>
      </c>
      <c r="I252" s="429">
        <f>SUM(Table10[[#This Row],[1]:[5]])</f>
        <v>74584.532353268078</v>
      </c>
      <c r="J252" s="429">
        <f>Table10[[#This Row],[6=1+...+5]]*15%</f>
        <v>11187.679852990212</v>
      </c>
      <c r="K252" s="429">
        <f>(Table10[[#This Row],[6=1+...+5]]-Table10[[#This Row],[2]])*15%</f>
        <v>11067.168489353848</v>
      </c>
      <c r="L252" s="429">
        <f>Table10[[#This Row],[6=1+...+5]]+Table10[[#This Row],[7=6*15%]]</f>
        <v>85772.212206258293</v>
      </c>
      <c r="M252" s="464">
        <f t="shared" si="58"/>
        <v>84848.291751712837</v>
      </c>
      <c r="N252" s="187" t="s">
        <v>328</v>
      </c>
    </row>
    <row r="253" spans="1:14" ht="15.75" x14ac:dyDescent="0.25">
      <c r="A253" s="232" t="s">
        <v>512</v>
      </c>
      <c r="B253" s="203" t="s">
        <v>513</v>
      </c>
      <c r="C253" s="5"/>
      <c r="D253" s="469"/>
      <c r="E253" s="469"/>
      <c r="F253" s="469"/>
      <c r="G253" s="470"/>
      <c r="H253" s="469"/>
      <c r="I253" s="469"/>
      <c r="J253" s="469"/>
      <c r="K253" s="469"/>
      <c r="L253" s="471"/>
      <c r="M253" s="471"/>
      <c r="N253" s="34" t="s">
        <v>523</v>
      </c>
    </row>
    <row r="254" spans="1:14" ht="31.5" x14ac:dyDescent="0.25">
      <c r="A254" s="79" t="s">
        <v>154</v>
      </c>
      <c r="B254" s="37" t="s">
        <v>64</v>
      </c>
      <c r="C254" s="5" t="s">
        <v>564</v>
      </c>
      <c r="D254" s="429">
        <f>NHANCONG!G240</f>
        <v>1513.883</v>
      </c>
      <c r="E254" s="430">
        <f>THIETBI!I287</f>
        <v>0</v>
      </c>
      <c r="F254" s="430">
        <f>DUNGCU!H345</f>
        <v>0</v>
      </c>
      <c r="G254" s="429">
        <f>VATLIEU!F292</f>
        <v>0</v>
      </c>
      <c r="H254" s="430">
        <f>H190</f>
        <v>0</v>
      </c>
      <c r="I254" s="429">
        <f>SUM(Table10[[#This Row],[1]:[5]])</f>
        <v>1513.883</v>
      </c>
      <c r="J254" s="429">
        <f>Table10[[#This Row],[6=1+...+5]]*15%</f>
        <v>227.08244999999999</v>
      </c>
      <c r="K254" s="429">
        <f>(Table10[[#This Row],[6=1+...+5]]-Table10[[#This Row],[2]])*15%</f>
        <v>227.08244999999999</v>
      </c>
      <c r="L254" s="429">
        <f>Table10[[#This Row],[6=1+...+5]]+Table10[[#This Row],[7=6*15%]]</f>
        <v>1740.9654500000001</v>
      </c>
      <c r="M254" s="464">
        <f t="shared" ref="M254:M259" si="60">I254-E254+K254</f>
        <v>1740.9654500000001</v>
      </c>
      <c r="N254" s="187"/>
    </row>
    <row r="255" spans="1:14" ht="15.75" x14ac:dyDescent="0.25">
      <c r="A255" s="79" t="s">
        <v>155</v>
      </c>
      <c r="B255" s="37" t="s">
        <v>65</v>
      </c>
      <c r="C255" s="5" t="s">
        <v>564</v>
      </c>
      <c r="D255" s="429">
        <f>NHANCONG!G241</f>
        <v>7898.5199999999995</v>
      </c>
      <c r="E255" s="430">
        <f>THIETBI!I288</f>
        <v>234.375</v>
      </c>
      <c r="F255" s="430">
        <f>DUNGCU!H346</f>
        <v>3575.0108974358977</v>
      </c>
      <c r="G255" s="429">
        <f>VATLIEU!F293</f>
        <v>10663.400000000001</v>
      </c>
      <c r="H255" s="430">
        <f t="shared" ref="H255:H259" si="61">H191</f>
        <v>813.21912000000009</v>
      </c>
      <c r="I255" s="429">
        <f>SUM(Table10[[#This Row],[1]:[5]])</f>
        <v>23184.525017435903</v>
      </c>
      <c r="J255" s="429">
        <f>Table10[[#This Row],[6=1+...+5]]*15%</f>
        <v>3477.6787526153853</v>
      </c>
      <c r="K255" s="429">
        <f>(Table10[[#This Row],[6=1+...+5]]-Table10[[#This Row],[2]])*15%</f>
        <v>3442.5225026153853</v>
      </c>
      <c r="L255" s="429">
        <f>Table10[[#This Row],[6=1+...+5]]+Table10[[#This Row],[7=6*15%]]</f>
        <v>26662.203770051288</v>
      </c>
      <c r="M255" s="464">
        <f t="shared" si="60"/>
        <v>26392.672520051288</v>
      </c>
      <c r="N255" s="187"/>
    </row>
    <row r="256" spans="1:14" ht="15.75" x14ac:dyDescent="0.25">
      <c r="A256" s="79" t="s">
        <v>156</v>
      </c>
      <c r="B256" s="37" t="s">
        <v>66</v>
      </c>
      <c r="C256" s="5" t="s">
        <v>564</v>
      </c>
      <c r="D256" s="429">
        <f>NHANCONG!G242</f>
        <v>15797.039999999999</v>
      </c>
      <c r="E256" s="430">
        <f>THIETBI!I289</f>
        <v>468.75</v>
      </c>
      <c r="F256" s="430">
        <f>DUNGCU!H347</f>
        <v>1995.5237179487181</v>
      </c>
      <c r="G256" s="429">
        <f>VATLIEU!F294</f>
        <v>26830.135000000002</v>
      </c>
      <c r="H256" s="430">
        <f t="shared" si="61"/>
        <v>1252.5811200000001</v>
      </c>
      <c r="I256" s="429">
        <f>SUM(Table10[[#This Row],[1]:[5]])</f>
        <v>46344.029837948721</v>
      </c>
      <c r="J256" s="429">
        <f>Table10[[#This Row],[6=1+...+5]]*15%</f>
        <v>6951.6044756923084</v>
      </c>
      <c r="K256" s="429">
        <f>(Table10[[#This Row],[6=1+...+5]]-Table10[[#This Row],[2]])*15%</f>
        <v>6881.2919756923084</v>
      </c>
      <c r="L256" s="429">
        <f>Table10[[#This Row],[6=1+...+5]]+Table10[[#This Row],[7=6*15%]]</f>
        <v>53295.634313641029</v>
      </c>
      <c r="M256" s="464">
        <f t="shared" si="60"/>
        <v>52756.571813641029</v>
      </c>
      <c r="N256" s="187"/>
    </row>
    <row r="257" spans="1:14" ht="15.75" x14ac:dyDescent="0.25">
      <c r="A257" s="79" t="s">
        <v>157</v>
      </c>
      <c r="B257" s="37" t="s">
        <v>67</v>
      </c>
      <c r="C257" s="5" t="s">
        <v>564</v>
      </c>
      <c r="D257" s="429">
        <f>NHANCONG!G243</f>
        <v>281.54379999999998</v>
      </c>
      <c r="E257" s="430">
        <f>THIETBI!I290</f>
        <v>0</v>
      </c>
      <c r="F257" s="430">
        <f>DUNGCU!H348</f>
        <v>0</v>
      </c>
      <c r="G257" s="429">
        <f>VATLIEU!F295</f>
        <v>0</v>
      </c>
      <c r="H257" s="430">
        <f t="shared" si="61"/>
        <v>0</v>
      </c>
      <c r="I257" s="429">
        <f>SUM(Table10[[#This Row],[1]:[5]])</f>
        <v>281.54379999999998</v>
      </c>
      <c r="J257" s="429">
        <f>Table10[[#This Row],[6=1+...+5]]*15%</f>
        <v>42.231569999999998</v>
      </c>
      <c r="K257" s="429">
        <f>(Table10[[#This Row],[6=1+...+5]]-Table10[[#This Row],[2]])*15%</f>
        <v>42.231569999999998</v>
      </c>
      <c r="L257" s="429">
        <f>Table10[[#This Row],[6=1+...+5]]+Table10[[#This Row],[7=6*15%]]</f>
        <v>323.77536999999995</v>
      </c>
      <c r="M257" s="464">
        <f t="shared" si="60"/>
        <v>323.77536999999995</v>
      </c>
      <c r="N257" s="187"/>
    </row>
    <row r="258" spans="1:14" ht="15.75" x14ac:dyDescent="0.25">
      <c r="A258" s="79" t="s">
        <v>158</v>
      </c>
      <c r="B258" s="37" t="s">
        <v>68</v>
      </c>
      <c r="C258" s="5" t="s">
        <v>564</v>
      </c>
      <c r="D258" s="429">
        <f>NHANCONG!G244</f>
        <v>289.61240000000004</v>
      </c>
      <c r="E258" s="430">
        <f>THIETBI!I291</f>
        <v>0</v>
      </c>
      <c r="F258" s="430">
        <f>DUNGCU!H349</f>
        <v>0</v>
      </c>
      <c r="G258" s="429">
        <f>VATLIEU!F296</f>
        <v>0</v>
      </c>
      <c r="H258" s="430">
        <f t="shared" si="61"/>
        <v>0</v>
      </c>
      <c r="I258" s="429">
        <f>SUM(Table10[[#This Row],[1]:[5]])</f>
        <v>289.61240000000004</v>
      </c>
      <c r="J258" s="429">
        <f>Table10[[#This Row],[6=1+...+5]]*15%</f>
        <v>43.441860000000005</v>
      </c>
      <c r="K258" s="429">
        <f>(Table10[[#This Row],[6=1+...+5]]-Table10[[#This Row],[2]])*15%</f>
        <v>43.441860000000005</v>
      </c>
      <c r="L258" s="429">
        <f>Table10[[#This Row],[6=1+...+5]]+Table10[[#This Row],[7=6*15%]]</f>
        <v>333.05426000000006</v>
      </c>
      <c r="M258" s="464">
        <f t="shared" si="60"/>
        <v>333.05426000000006</v>
      </c>
      <c r="N258" s="187"/>
    </row>
    <row r="259" spans="1:14" ht="25.5" x14ac:dyDescent="0.25">
      <c r="A259" s="79" t="s">
        <v>159</v>
      </c>
      <c r="B259" s="37" t="s">
        <v>69</v>
      </c>
      <c r="C259" s="5"/>
      <c r="D259" s="429">
        <f>NHANCONG!G245</f>
        <v>32061.100000000002</v>
      </c>
      <c r="E259" s="430">
        <f>THIETBI!I292</f>
        <v>803.40909090909088</v>
      </c>
      <c r="F259" s="430">
        <f>DUNGCU!H350</f>
        <v>258.68297435897438</v>
      </c>
      <c r="G259" s="429">
        <f>VATLIEU!F297</f>
        <v>39381.800000000003</v>
      </c>
      <c r="H259" s="430">
        <f t="shared" si="61"/>
        <v>2079.5402880000001</v>
      </c>
      <c r="I259" s="429">
        <f>SUM(Table10[[#This Row],[1]:[5]])</f>
        <v>74584.532353268078</v>
      </c>
      <c r="J259" s="429">
        <f>Table10[[#This Row],[6=1+...+5]]*15%</f>
        <v>11187.679852990212</v>
      </c>
      <c r="K259" s="429">
        <f>(Table10[[#This Row],[6=1+...+5]]-Table10[[#This Row],[2]])*15%</f>
        <v>11067.168489353848</v>
      </c>
      <c r="L259" s="429">
        <f>Table10[[#This Row],[6=1+...+5]]+Table10[[#This Row],[7=6*15%]]</f>
        <v>85772.212206258293</v>
      </c>
      <c r="M259" s="464">
        <f t="shared" si="60"/>
        <v>84848.291751712837</v>
      </c>
      <c r="N259" s="187" t="s">
        <v>328</v>
      </c>
    </row>
    <row r="260" spans="1:14" ht="15.75" x14ac:dyDescent="0.25">
      <c r="A260" s="232" t="s">
        <v>515</v>
      </c>
      <c r="B260" s="203" t="s">
        <v>516</v>
      </c>
      <c r="C260" s="5"/>
      <c r="D260" s="469"/>
      <c r="E260" s="469"/>
      <c r="F260" s="469"/>
      <c r="G260" s="470"/>
      <c r="H260" s="469"/>
      <c r="I260" s="469"/>
      <c r="J260" s="469"/>
      <c r="K260" s="469"/>
      <c r="L260" s="471"/>
      <c r="M260" s="471"/>
      <c r="N260" s="34" t="s">
        <v>524</v>
      </c>
    </row>
    <row r="261" spans="1:14" ht="31.5" x14ac:dyDescent="0.25">
      <c r="A261" s="79" t="s">
        <v>154</v>
      </c>
      <c r="B261" s="37" t="s">
        <v>64</v>
      </c>
      <c r="C261" s="5" t="s">
        <v>564</v>
      </c>
      <c r="D261" s="429">
        <f>NHANCONG!G247</f>
        <v>1513.883</v>
      </c>
      <c r="E261" s="430">
        <f>THIETBI!I294</f>
        <v>0</v>
      </c>
      <c r="F261" s="430">
        <f>DUNGCU!H352</f>
        <v>0</v>
      </c>
      <c r="G261" s="429">
        <f>VATLIEU!F299</f>
        <v>0</v>
      </c>
      <c r="H261" s="430">
        <f>H190</f>
        <v>0</v>
      </c>
      <c r="I261" s="429">
        <f>SUM(Table10[[#This Row],[1]:[5]])</f>
        <v>1513.883</v>
      </c>
      <c r="J261" s="429">
        <f>Table10[[#This Row],[6=1+...+5]]*15%</f>
        <v>227.08244999999999</v>
      </c>
      <c r="K261" s="429">
        <f>(Table10[[#This Row],[6=1+...+5]]-Table10[[#This Row],[2]])*15%</f>
        <v>227.08244999999999</v>
      </c>
      <c r="L261" s="429">
        <f>Table10[[#This Row],[6=1+...+5]]+Table10[[#This Row],[7=6*15%]]</f>
        <v>1740.9654500000001</v>
      </c>
      <c r="M261" s="464">
        <f t="shared" ref="M261:M266" si="62">I261-E261+K261</f>
        <v>1740.9654500000001</v>
      </c>
      <c r="N261" s="187"/>
    </row>
    <row r="262" spans="1:14" ht="15.75" x14ac:dyDescent="0.25">
      <c r="A262" s="79" t="s">
        <v>155</v>
      </c>
      <c r="B262" s="37" t="s">
        <v>65</v>
      </c>
      <c r="C262" s="5" t="s">
        <v>564</v>
      </c>
      <c r="D262" s="429">
        <f>NHANCONG!G248</f>
        <v>15797.039999999999</v>
      </c>
      <c r="E262" s="430">
        <f>THIETBI!I295</f>
        <v>468.75</v>
      </c>
      <c r="F262" s="430">
        <f>DUNGCU!H353</f>
        <v>7150.0217948717955</v>
      </c>
      <c r="G262" s="429">
        <f>VATLIEU!F300</f>
        <v>21326.800000000003</v>
      </c>
      <c r="H262" s="430">
        <f t="shared" ref="H262:H266" si="63">H191</f>
        <v>813.21912000000009</v>
      </c>
      <c r="I262" s="429">
        <f>SUM(Table10[[#This Row],[1]:[5]])</f>
        <v>45555.830914871804</v>
      </c>
      <c r="J262" s="429">
        <f>Table10[[#This Row],[6=1+...+5]]*15%</f>
        <v>6833.3746372307705</v>
      </c>
      <c r="K262" s="429">
        <f>(Table10[[#This Row],[6=1+...+5]]-Table10[[#This Row],[2]])*15%</f>
        <v>6763.0621372307705</v>
      </c>
      <c r="L262" s="429">
        <f>Table10[[#This Row],[6=1+...+5]]+Table10[[#This Row],[7=6*15%]]</f>
        <v>52389.205552102576</v>
      </c>
      <c r="M262" s="464">
        <f t="shared" si="62"/>
        <v>51850.143052102576</v>
      </c>
      <c r="N262" s="187"/>
    </row>
    <row r="263" spans="1:14" ht="15.75" x14ac:dyDescent="0.25">
      <c r="A263" s="79" t="s">
        <v>156</v>
      </c>
      <c r="B263" s="37" t="s">
        <v>66</v>
      </c>
      <c r="C263" s="5" t="s">
        <v>564</v>
      </c>
      <c r="D263" s="429">
        <f>NHANCONG!G249</f>
        <v>31594.079999999998</v>
      </c>
      <c r="E263" s="430">
        <f>THIETBI!I296</f>
        <v>937.5</v>
      </c>
      <c r="F263" s="430">
        <f>DUNGCU!H354</f>
        <v>3991.0474358974361</v>
      </c>
      <c r="G263" s="429">
        <f>VATLIEU!F301</f>
        <v>53660.270000000004</v>
      </c>
      <c r="H263" s="430">
        <f t="shared" si="63"/>
        <v>1252.5811200000001</v>
      </c>
      <c r="I263" s="429">
        <f>SUM(Table10[[#This Row],[1]:[5]])</f>
        <v>91435.47855589744</v>
      </c>
      <c r="J263" s="429">
        <f>Table10[[#This Row],[6=1+...+5]]*15%</f>
        <v>13715.321783384616</v>
      </c>
      <c r="K263" s="429">
        <f>(Table10[[#This Row],[6=1+...+5]]-Table10[[#This Row],[2]])*15%</f>
        <v>13574.696783384616</v>
      </c>
      <c r="L263" s="429">
        <f>Table10[[#This Row],[6=1+...+5]]+Table10[[#This Row],[7=6*15%]]</f>
        <v>105150.80033928205</v>
      </c>
      <c r="M263" s="464">
        <f t="shared" si="62"/>
        <v>104072.67533928205</v>
      </c>
      <c r="N263" s="187"/>
    </row>
    <row r="264" spans="1:14" ht="15.75" x14ac:dyDescent="0.25">
      <c r="A264" s="79" t="s">
        <v>157</v>
      </c>
      <c r="B264" s="37" t="s">
        <v>67</v>
      </c>
      <c r="C264" s="5" t="s">
        <v>564</v>
      </c>
      <c r="D264" s="429">
        <f>NHANCONG!G250</f>
        <v>281.54379999999998</v>
      </c>
      <c r="E264" s="430">
        <f>THIETBI!I297</f>
        <v>0</v>
      </c>
      <c r="F264" s="430">
        <f>DUNGCU!H355</f>
        <v>0</v>
      </c>
      <c r="G264" s="429">
        <f>VATLIEU!F302</f>
        <v>0</v>
      </c>
      <c r="H264" s="430">
        <f t="shared" si="63"/>
        <v>0</v>
      </c>
      <c r="I264" s="429">
        <f>SUM(Table10[[#This Row],[1]:[5]])</f>
        <v>281.54379999999998</v>
      </c>
      <c r="J264" s="429">
        <f>Table10[[#This Row],[6=1+...+5]]*15%</f>
        <v>42.231569999999998</v>
      </c>
      <c r="K264" s="429">
        <f>(Table10[[#This Row],[6=1+...+5]]-Table10[[#This Row],[2]])*15%</f>
        <v>42.231569999999998</v>
      </c>
      <c r="L264" s="429">
        <f>Table10[[#This Row],[6=1+...+5]]+Table10[[#This Row],[7=6*15%]]</f>
        <v>323.77536999999995</v>
      </c>
      <c r="M264" s="464">
        <f t="shared" si="62"/>
        <v>323.77536999999995</v>
      </c>
      <c r="N264" s="187"/>
    </row>
    <row r="265" spans="1:14" ht="15.75" x14ac:dyDescent="0.25">
      <c r="A265" s="79" t="s">
        <v>158</v>
      </c>
      <c r="B265" s="37" t="s">
        <v>68</v>
      </c>
      <c r="C265" s="5" t="s">
        <v>564</v>
      </c>
      <c r="D265" s="429">
        <f>NHANCONG!G251</f>
        <v>289.61240000000004</v>
      </c>
      <c r="E265" s="430">
        <f>THIETBI!I298</f>
        <v>0</v>
      </c>
      <c r="F265" s="430">
        <f>DUNGCU!H356</f>
        <v>0</v>
      </c>
      <c r="G265" s="429">
        <f>VATLIEU!F303</f>
        <v>0</v>
      </c>
      <c r="H265" s="430">
        <f t="shared" si="63"/>
        <v>0</v>
      </c>
      <c r="I265" s="429">
        <f>SUM(Table10[[#This Row],[1]:[5]])</f>
        <v>289.61240000000004</v>
      </c>
      <c r="J265" s="429">
        <f>Table10[[#This Row],[6=1+...+5]]*15%</f>
        <v>43.441860000000005</v>
      </c>
      <c r="K265" s="429">
        <f>(Table10[[#This Row],[6=1+...+5]]-Table10[[#This Row],[2]])*15%</f>
        <v>43.441860000000005</v>
      </c>
      <c r="L265" s="429">
        <f>Table10[[#This Row],[6=1+...+5]]+Table10[[#This Row],[7=6*15%]]</f>
        <v>333.05426000000006</v>
      </c>
      <c r="M265" s="464">
        <f t="shared" si="62"/>
        <v>333.05426000000006</v>
      </c>
      <c r="N265" s="187"/>
    </row>
    <row r="266" spans="1:14" ht="25.5" x14ac:dyDescent="0.25">
      <c r="A266" s="79" t="s">
        <v>159</v>
      </c>
      <c r="B266" s="37" t="s">
        <v>69</v>
      </c>
      <c r="C266" s="5"/>
      <c r="D266" s="429">
        <f>NHANCONG!G252</f>
        <v>32061.100000000002</v>
      </c>
      <c r="E266" s="430">
        <f>THIETBI!I299</f>
        <v>803.40909090909088</v>
      </c>
      <c r="F266" s="430">
        <f>DUNGCU!H357</f>
        <v>258.68297435897438</v>
      </c>
      <c r="G266" s="429">
        <f>VATLIEU!F304</f>
        <v>39381.800000000003</v>
      </c>
      <c r="H266" s="430">
        <f t="shared" si="63"/>
        <v>2079.5402880000001</v>
      </c>
      <c r="I266" s="429">
        <f>SUM(Table10[[#This Row],[1]:[5]])</f>
        <v>74584.532353268078</v>
      </c>
      <c r="J266" s="429">
        <f>Table10[[#This Row],[6=1+...+5]]*15%</f>
        <v>11187.679852990212</v>
      </c>
      <c r="K266" s="429">
        <f>(Table10[[#This Row],[6=1+...+5]]-Table10[[#This Row],[2]])*15%</f>
        <v>11067.168489353848</v>
      </c>
      <c r="L266" s="429">
        <f>Table10[[#This Row],[6=1+...+5]]+Table10[[#This Row],[7=6*15%]]</f>
        <v>85772.212206258293</v>
      </c>
      <c r="M266" s="464">
        <f t="shared" si="62"/>
        <v>84848.291751712837</v>
      </c>
      <c r="N266" s="187" t="s">
        <v>328</v>
      </c>
    </row>
    <row r="267" spans="1:14" ht="15.75" x14ac:dyDescent="0.25">
      <c r="A267" s="232" t="s">
        <v>518</v>
      </c>
      <c r="B267" s="203" t="s">
        <v>519</v>
      </c>
      <c r="C267" s="5"/>
      <c r="D267" s="469"/>
      <c r="E267" s="469"/>
      <c r="F267" s="469"/>
      <c r="G267" s="470"/>
      <c r="H267" s="469"/>
      <c r="I267" s="469"/>
      <c r="J267" s="469"/>
      <c r="K267" s="469"/>
      <c r="L267" s="471"/>
      <c r="M267" s="471"/>
      <c r="N267" s="34" t="s">
        <v>525</v>
      </c>
    </row>
    <row r="268" spans="1:14" ht="31.5" x14ac:dyDescent="0.25">
      <c r="A268" s="79" t="s">
        <v>154</v>
      </c>
      <c r="B268" s="37" t="s">
        <v>64</v>
      </c>
      <c r="C268" s="5" t="s">
        <v>564</v>
      </c>
      <c r="D268" s="429">
        <f>NHANCONG!G254</f>
        <v>1513.883</v>
      </c>
      <c r="E268" s="430">
        <f>THIETBI!I301</f>
        <v>0</v>
      </c>
      <c r="F268" s="430">
        <f>DUNGCU!H359</f>
        <v>0</v>
      </c>
      <c r="G268" s="429">
        <f>VATLIEU!F306</f>
        <v>0</v>
      </c>
      <c r="H268" s="430">
        <f>H190</f>
        <v>0</v>
      </c>
      <c r="I268" s="429">
        <f>SUM(Table10[[#This Row],[1]:[5]])</f>
        <v>1513.883</v>
      </c>
      <c r="J268" s="429">
        <f>Table10[[#This Row],[6=1+...+5]]*15%</f>
        <v>227.08244999999999</v>
      </c>
      <c r="K268" s="429">
        <f>(Table10[[#This Row],[6=1+...+5]]-Table10[[#This Row],[2]])*15%</f>
        <v>227.08244999999999</v>
      </c>
      <c r="L268" s="429">
        <f>Table10[[#This Row],[6=1+...+5]]+Table10[[#This Row],[7=6*15%]]</f>
        <v>1740.9654500000001</v>
      </c>
      <c r="M268" s="464">
        <f t="shared" ref="M268:M273" si="64">I268-E268+K268</f>
        <v>1740.9654500000001</v>
      </c>
      <c r="N268" s="187"/>
    </row>
    <row r="269" spans="1:14" ht="15.75" x14ac:dyDescent="0.25">
      <c r="A269" s="79" t="s">
        <v>155</v>
      </c>
      <c r="B269" s="37" t="s">
        <v>65</v>
      </c>
      <c r="C269" s="5" t="s">
        <v>564</v>
      </c>
      <c r="D269" s="429">
        <f>NHANCONG!G255</f>
        <v>31594.079999999998</v>
      </c>
      <c r="E269" s="430">
        <f>THIETBI!I302</f>
        <v>937.5</v>
      </c>
      <c r="F269" s="430">
        <f>DUNGCU!H360</f>
        <v>14300.043589743591</v>
      </c>
      <c r="G269" s="429">
        <f>VATLIEU!F307</f>
        <v>42653.600000000006</v>
      </c>
      <c r="H269" s="430">
        <f t="shared" ref="H269:H273" si="65">H191</f>
        <v>813.21912000000009</v>
      </c>
      <c r="I269" s="429">
        <f>SUM(Table10[[#This Row],[1]:[5]])</f>
        <v>90298.442709743598</v>
      </c>
      <c r="J269" s="429">
        <f>Table10[[#This Row],[6=1+...+5]]*15%</f>
        <v>13544.76640646154</v>
      </c>
      <c r="K269" s="429">
        <f>(Table10[[#This Row],[6=1+...+5]]-Table10[[#This Row],[2]])*15%</f>
        <v>13404.14140646154</v>
      </c>
      <c r="L269" s="429">
        <f>Table10[[#This Row],[6=1+...+5]]+Table10[[#This Row],[7=6*15%]]</f>
        <v>103843.20911620514</v>
      </c>
      <c r="M269" s="464">
        <f t="shared" si="64"/>
        <v>102765.08411620514</v>
      </c>
      <c r="N269" s="187"/>
    </row>
    <row r="270" spans="1:14" ht="15.75" x14ac:dyDescent="0.25">
      <c r="A270" s="79" t="s">
        <v>156</v>
      </c>
      <c r="B270" s="37" t="s">
        <v>66</v>
      </c>
      <c r="C270" s="5" t="s">
        <v>564</v>
      </c>
      <c r="D270" s="429">
        <f>NHANCONG!G256</f>
        <v>63188.159999999996</v>
      </c>
      <c r="E270" s="430">
        <f>THIETBI!I303</f>
        <v>1875</v>
      </c>
      <c r="F270" s="430">
        <f>DUNGCU!H361</f>
        <v>7982.0948717948722</v>
      </c>
      <c r="G270" s="429">
        <f>VATLIEU!F308</f>
        <v>107320.54000000001</v>
      </c>
      <c r="H270" s="430">
        <f t="shared" si="65"/>
        <v>1252.5811200000001</v>
      </c>
      <c r="I270" s="429">
        <f>SUM(Table10[[#This Row],[1]:[5]])</f>
        <v>181618.37599179486</v>
      </c>
      <c r="J270" s="429">
        <f>Table10[[#This Row],[6=1+...+5]]*15%</f>
        <v>27242.75639876923</v>
      </c>
      <c r="K270" s="429">
        <f>(Table10[[#This Row],[6=1+...+5]]-Table10[[#This Row],[2]])*15%</f>
        <v>26961.50639876923</v>
      </c>
      <c r="L270" s="429">
        <f>Table10[[#This Row],[6=1+...+5]]+Table10[[#This Row],[7=6*15%]]</f>
        <v>208861.1323905641</v>
      </c>
      <c r="M270" s="464">
        <f t="shared" si="64"/>
        <v>206704.8823905641</v>
      </c>
      <c r="N270" s="187"/>
    </row>
    <row r="271" spans="1:14" ht="15.75" x14ac:dyDescent="0.25">
      <c r="A271" s="79" t="s">
        <v>157</v>
      </c>
      <c r="B271" s="37" t="s">
        <v>67</v>
      </c>
      <c r="C271" s="5" t="s">
        <v>564</v>
      </c>
      <c r="D271" s="429">
        <f>NHANCONG!G257</f>
        <v>281.54379999999998</v>
      </c>
      <c r="E271" s="430">
        <f>THIETBI!I304</f>
        <v>0</v>
      </c>
      <c r="F271" s="430">
        <f>DUNGCU!H362</f>
        <v>0</v>
      </c>
      <c r="G271" s="429">
        <f>VATLIEU!F309</f>
        <v>0</v>
      </c>
      <c r="H271" s="430">
        <f t="shared" si="65"/>
        <v>0</v>
      </c>
      <c r="I271" s="429">
        <f>SUM(Table10[[#This Row],[1]:[5]])</f>
        <v>281.54379999999998</v>
      </c>
      <c r="J271" s="429">
        <f>Table10[[#This Row],[6=1+...+5]]*15%</f>
        <v>42.231569999999998</v>
      </c>
      <c r="K271" s="429">
        <f>(Table10[[#This Row],[6=1+...+5]]-Table10[[#This Row],[2]])*15%</f>
        <v>42.231569999999998</v>
      </c>
      <c r="L271" s="429">
        <f>Table10[[#This Row],[6=1+...+5]]+Table10[[#This Row],[7=6*15%]]</f>
        <v>323.77536999999995</v>
      </c>
      <c r="M271" s="464">
        <f t="shared" si="64"/>
        <v>323.77536999999995</v>
      </c>
      <c r="N271" s="187"/>
    </row>
    <row r="272" spans="1:14" ht="15.75" x14ac:dyDescent="0.25">
      <c r="A272" s="79" t="s">
        <v>158</v>
      </c>
      <c r="B272" s="37" t="s">
        <v>68</v>
      </c>
      <c r="C272" s="5" t="s">
        <v>564</v>
      </c>
      <c r="D272" s="429">
        <f>NHANCONG!G258</f>
        <v>289.61240000000004</v>
      </c>
      <c r="E272" s="430">
        <f>THIETBI!I305</f>
        <v>0</v>
      </c>
      <c r="F272" s="430">
        <f>DUNGCU!H363</f>
        <v>0</v>
      </c>
      <c r="G272" s="429">
        <f>VATLIEU!F310</f>
        <v>0</v>
      </c>
      <c r="H272" s="430">
        <f t="shared" si="65"/>
        <v>0</v>
      </c>
      <c r="I272" s="429">
        <f>SUM(Table10[[#This Row],[1]:[5]])</f>
        <v>289.61240000000004</v>
      </c>
      <c r="J272" s="429">
        <f>Table10[[#This Row],[6=1+...+5]]*15%</f>
        <v>43.441860000000005</v>
      </c>
      <c r="K272" s="429">
        <f>(Table10[[#This Row],[6=1+...+5]]-Table10[[#This Row],[2]])*15%</f>
        <v>43.441860000000005</v>
      </c>
      <c r="L272" s="429">
        <f>Table10[[#This Row],[6=1+...+5]]+Table10[[#This Row],[7=6*15%]]</f>
        <v>333.05426000000006</v>
      </c>
      <c r="M272" s="464">
        <f t="shared" si="64"/>
        <v>333.05426000000006</v>
      </c>
      <c r="N272" s="187"/>
    </row>
    <row r="273" spans="1:14" ht="25.5" x14ac:dyDescent="0.25">
      <c r="A273" s="79" t="s">
        <v>159</v>
      </c>
      <c r="B273" s="37" t="s">
        <v>69</v>
      </c>
      <c r="C273" s="5"/>
      <c r="D273" s="429">
        <f>NHANCONG!G259</f>
        <v>32061.100000000002</v>
      </c>
      <c r="E273" s="430">
        <f>THIETBI!I306</f>
        <v>803.40909090909088</v>
      </c>
      <c r="F273" s="430">
        <f>DUNGCU!H364</f>
        <v>258.68297435897438</v>
      </c>
      <c r="G273" s="429">
        <f>VATLIEU!F311</f>
        <v>39381.800000000003</v>
      </c>
      <c r="H273" s="430">
        <f t="shared" si="65"/>
        <v>2079.5402880000001</v>
      </c>
      <c r="I273" s="429">
        <f>SUM(Table10[[#This Row],[1]:[5]])</f>
        <v>74584.532353268078</v>
      </c>
      <c r="J273" s="429">
        <f>Table10[[#This Row],[6=1+...+5]]*15%</f>
        <v>11187.679852990212</v>
      </c>
      <c r="K273" s="429">
        <f>(Table10[[#This Row],[6=1+...+5]]-Table10[[#This Row],[2]])*15%</f>
        <v>11067.168489353848</v>
      </c>
      <c r="L273" s="429">
        <f>Table10[[#This Row],[6=1+...+5]]+Table10[[#This Row],[7=6*15%]]</f>
        <v>85772.212206258293</v>
      </c>
      <c r="M273" s="464">
        <f t="shared" si="64"/>
        <v>84848.291751712837</v>
      </c>
      <c r="N273" s="187" t="s">
        <v>328</v>
      </c>
    </row>
    <row r="274" spans="1:14" ht="15.75" x14ac:dyDescent="0.25">
      <c r="A274" s="78" t="s">
        <v>168</v>
      </c>
      <c r="B274" s="55" t="s">
        <v>70</v>
      </c>
      <c r="C274" s="5"/>
      <c r="D274" s="467"/>
      <c r="E274" s="467"/>
      <c r="F274" s="467"/>
      <c r="G274" s="462"/>
      <c r="H274" s="467"/>
      <c r="I274" s="467"/>
      <c r="J274" s="467"/>
      <c r="K274" s="467"/>
      <c r="L274" s="467"/>
      <c r="M274" s="468"/>
      <c r="N274" s="275"/>
    </row>
    <row r="275" spans="1:14" ht="31.5" x14ac:dyDescent="0.25">
      <c r="A275" s="79" t="s">
        <v>162</v>
      </c>
      <c r="B275" s="37" t="s">
        <v>71</v>
      </c>
      <c r="C275" s="5" t="s">
        <v>565</v>
      </c>
      <c r="D275" s="429">
        <f>NHANCONG!G261</f>
        <v>300407.04399999999</v>
      </c>
      <c r="E275" s="429">
        <f>THIETBI!I308</f>
        <v>12236.40909090909</v>
      </c>
      <c r="F275" s="429">
        <f>DUNGCU!H366</f>
        <v>2015.1895602564105</v>
      </c>
      <c r="G275" s="429">
        <f>VATLIEU!F313</f>
        <v>51521.806799999998</v>
      </c>
      <c r="H275" s="429">
        <f>DIENNANG!F225</f>
        <v>21231.633427200002</v>
      </c>
      <c r="I275" s="429">
        <f>SUM(Table10[[#This Row],[1]:[5]])</f>
        <v>387412.08287836559</v>
      </c>
      <c r="J275" s="429">
        <f>Table10[[#This Row],[6=1+...+5]]*15%</f>
        <v>58111.812431754835</v>
      </c>
      <c r="K275" s="429">
        <f>(Table10[[#This Row],[6=1+...+5]]-Table10[[#This Row],[2]])*15%</f>
        <v>56276.351068118471</v>
      </c>
      <c r="L275" s="429">
        <f>Table10[[#This Row],[6=1+...+5]]+Table10[[#This Row],[7=6*15%]]</f>
        <v>445523.89531012042</v>
      </c>
      <c r="M275" s="464">
        <f>I275-E275+K275</f>
        <v>431452.02485557494</v>
      </c>
      <c r="N275" s="187"/>
    </row>
    <row r="276" spans="1:14" ht="38.25" x14ac:dyDescent="0.25">
      <c r="A276" s="79" t="s">
        <v>163</v>
      </c>
      <c r="B276" s="37" t="s">
        <v>72</v>
      </c>
      <c r="C276" s="5"/>
      <c r="D276" s="429"/>
      <c r="E276" s="430"/>
      <c r="F276" s="430"/>
      <c r="G276" s="429"/>
      <c r="H276" s="430"/>
      <c r="I276" s="430"/>
      <c r="J276" s="430"/>
      <c r="K276" s="430"/>
      <c r="L276" s="430"/>
      <c r="M276" s="472"/>
      <c r="N276" s="187" t="s">
        <v>446</v>
      </c>
    </row>
    <row r="277" spans="1:14" ht="15.75" x14ac:dyDescent="0.25">
      <c r="A277" s="79"/>
      <c r="B277" s="37" t="s">
        <v>505</v>
      </c>
      <c r="C277" s="5" t="s">
        <v>412</v>
      </c>
      <c r="D277" s="429">
        <f>NHANCONG!G263</f>
        <v>1511.7540000000001</v>
      </c>
      <c r="E277" s="430">
        <f>THIETBI!$I$312</f>
        <v>0</v>
      </c>
      <c r="F277" s="430">
        <f>DUNGCU!$H$376</f>
        <v>0</v>
      </c>
      <c r="G277" s="429">
        <f>VATLIEU!$F$317</f>
        <v>0</v>
      </c>
      <c r="H277" s="430">
        <f>DIENNANG!$F$233</f>
        <v>0</v>
      </c>
      <c r="I277" s="429">
        <f>SUM(Table10[[#This Row],[1]:[5]])</f>
        <v>1511.7540000000001</v>
      </c>
      <c r="J277" s="429">
        <f>Table10[[#This Row],[6=1+...+5]]*15%</f>
        <v>226.76310000000001</v>
      </c>
      <c r="K277" s="429">
        <f>(Table10[[#This Row],[6=1+...+5]]-Table10[[#This Row],[2]])*15%</f>
        <v>226.76310000000001</v>
      </c>
      <c r="L277" s="429">
        <f>Table10[[#This Row],[6=1+...+5]]+Table10[[#This Row],[7=6*15%]]</f>
        <v>1738.5171</v>
      </c>
      <c r="M277" s="464">
        <f t="shared" ref="M277:M281" si="66">I277-E277+K277</f>
        <v>1738.5171</v>
      </c>
      <c r="N277" s="187"/>
    </row>
    <row r="278" spans="1:14" ht="15.75" x14ac:dyDescent="0.25">
      <c r="A278" s="79"/>
      <c r="B278" s="37" t="s">
        <v>510</v>
      </c>
      <c r="C278" s="5" t="s">
        <v>566</v>
      </c>
      <c r="D278" s="429">
        <f>NHANCONG!G264</f>
        <v>3023.5080000000003</v>
      </c>
      <c r="E278" s="430">
        <f>THIETBI!$I$312</f>
        <v>0</v>
      </c>
      <c r="F278" s="430">
        <f>DUNGCU!$H$376</f>
        <v>0</v>
      </c>
      <c r="G278" s="429">
        <f>VATLIEU!$F$317</f>
        <v>0</v>
      </c>
      <c r="H278" s="430">
        <f>DIENNANG!$F$233</f>
        <v>0</v>
      </c>
      <c r="I278" s="429">
        <f>SUM(Table10[[#This Row],[1]:[5]])</f>
        <v>3023.5080000000003</v>
      </c>
      <c r="J278" s="429">
        <f>Table10[[#This Row],[6=1+...+5]]*15%</f>
        <v>453.52620000000002</v>
      </c>
      <c r="K278" s="429">
        <f>(Table10[[#This Row],[6=1+...+5]]-Table10[[#This Row],[2]])*15%</f>
        <v>453.52620000000002</v>
      </c>
      <c r="L278" s="429">
        <f>Table10[[#This Row],[6=1+...+5]]+Table10[[#This Row],[7=6*15%]]</f>
        <v>3477.0342000000001</v>
      </c>
      <c r="M278" s="464">
        <f t="shared" si="66"/>
        <v>3477.0342000000001</v>
      </c>
      <c r="N278" s="187" t="s">
        <v>570</v>
      </c>
    </row>
    <row r="279" spans="1:14" ht="15.75" x14ac:dyDescent="0.25">
      <c r="A279" s="79"/>
      <c r="B279" s="37" t="s">
        <v>513</v>
      </c>
      <c r="C279" s="5" t="s">
        <v>567</v>
      </c>
      <c r="D279" s="429">
        <f>NHANCONG!G265</f>
        <v>6047.0160000000005</v>
      </c>
      <c r="E279" s="430">
        <f>THIETBI!$I$312</f>
        <v>0</v>
      </c>
      <c r="F279" s="430">
        <f>DUNGCU!$H$376</f>
        <v>0</v>
      </c>
      <c r="G279" s="429">
        <f>VATLIEU!$F$317</f>
        <v>0</v>
      </c>
      <c r="H279" s="430">
        <f>DIENNANG!$F$233</f>
        <v>0</v>
      </c>
      <c r="I279" s="429">
        <f>SUM(Table10[[#This Row],[1]:[5]])</f>
        <v>6047.0160000000005</v>
      </c>
      <c r="J279" s="429">
        <f>Table10[[#This Row],[6=1+...+5]]*15%</f>
        <v>907.05240000000003</v>
      </c>
      <c r="K279" s="429">
        <f>(Table10[[#This Row],[6=1+...+5]]-Table10[[#This Row],[2]])*15%</f>
        <v>907.05240000000003</v>
      </c>
      <c r="L279" s="429">
        <f>Table10[[#This Row],[6=1+...+5]]+Table10[[#This Row],[7=6*15%]]</f>
        <v>6954.0684000000001</v>
      </c>
      <c r="M279" s="464">
        <f t="shared" si="66"/>
        <v>6954.0684000000001</v>
      </c>
      <c r="N279" s="187" t="s">
        <v>571</v>
      </c>
    </row>
    <row r="280" spans="1:14" ht="15.75" x14ac:dyDescent="0.25">
      <c r="A280" s="79"/>
      <c r="B280" s="37" t="s">
        <v>516</v>
      </c>
      <c r="C280" s="5" t="s">
        <v>568</v>
      </c>
      <c r="D280" s="429">
        <f>NHANCONG!G266</f>
        <v>12094.032000000001</v>
      </c>
      <c r="E280" s="430">
        <f>THIETBI!$I$312</f>
        <v>0</v>
      </c>
      <c r="F280" s="430">
        <f>DUNGCU!$H$376</f>
        <v>0</v>
      </c>
      <c r="G280" s="429">
        <f>VATLIEU!$F$317</f>
        <v>0</v>
      </c>
      <c r="H280" s="430">
        <f>DIENNANG!$F$233</f>
        <v>0</v>
      </c>
      <c r="I280" s="429">
        <f>SUM(Table10[[#This Row],[1]:[5]])</f>
        <v>12094.032000000001</v>
      </c>
      <c r="J280" s="429">
        <f>Table10[[#This Row],[6=1+...+5]]*15%</f>
        <v>1814.1048000000001</v>
      </c>
      <c r="K280" s="429">
        <f>(Table10[[#This Row],[6=1+...+5]]-Table10[[#This Row],[2]])*15%</f>
        <v>1814.1048000000001</v>
      </c>
      <c r="L280" s="429">
        <f>Table10[[#This Row],[6=1+...+5]]+Table10[[#This Row],[7=6*15%]]</f>
        <v>13908.1368</v>
      </c>
      <c r="M280" s="464">
        <f t="shared" si="66"/>
        <v>13908.1368</v>
      </c>
      <c r="N280" s="187" t="s">
        <v>572</v>
      </c>
    </row>
    <row r="281" spans="1:14" ht="15.75" x14ac:dyDescent="0.25">
      <c r="A281" s="79"/>
      <c r="B281" s="37" t="s">
        <v>519</v>
      </c>
      <c r="C281" s="5" t="s">
        <v>569</v>
      </c>
      <c r="D281" s="429">
        <f>NHANCONG!G267</f>
        <v>24188.064000000002</v>
      </c>
      <c r="E281" s="430">
        <f>THIETBI!$I$312</f>
        <v>0</v>
      </c>
      <c r="F281" s="430">
        <f>DUNGCU!$H$376</f>
        <v>0</v>
      </c>
      <c r="G281" s="429">
        <f>VATLIEU!$F$317</f>
        <v>0</v>
      </c>
      <c r="H281" s="430">
        <f>DIENNANG!$F$233</f>
        <v>0</v>
      </c>
      <c r="I281" s="429">
        <f>SUM(Table10[[#This Row],[1]:[5]])</f>
        <v>24188.064000000002</v>
      </c>
      <c r="J281" s="429">
        <f>Table10[[#This Row],[6=1+...+5]]*15%</f>
        <v>3628.2096000000001</v>
      </c>
      <c r="K281" s="429">
        <f>(Table10[[#This Row],[6=1+...+5]]-Table10[[#This Row],[2]])*15%</f>
        <v>3628.2096000000001</v>
      </c>
      <c r="L281" s="429">
        <f>Table10[[#This Row],[6=1+...+5]]+Table10[[#This Row],[7=6*15%]]</f>
        <v>27816.2736</v>
      </c>
      <c r="M281" s="464">
        <f t="shared" si="66"/>
        <v>27816.2736</v>
      </c>
      <c r="N281" s="187" t="s">
        <v>573</v>
      </c>
    </row>
    <row r="282" spans="1:14" ht="15.75" x14ac:dyDescent="0.25">
      <c r="A282" s="79" t="s">
        <v>164</v>
      </c>
      <c r="B282" s="37" t="s">
        <v>73</v>
      </c>
      <c r="C282" s="5"/>
      <c r="D282" s="429"/>
      <c r="E282" s="430"/>
      <c r="F282" s="429"/>
      <c r="G282" s="429"/>
      <c r="H282" s="429"/>
      <c r="I282" s="429"/>
      <c r="J282" s="429"/>
      <c r="K282" s="429"/>
      <c r="L282" s="429"/>
      <c r="M282" s="464"/>
      <c r="N282" s="187" t="s">
        <v>54</v>
      </c>
    </row>
    <row r="283" spans="1:14" ht="38.25" x14ac:dyDescent="0.25">
      <c r="A283" s="79" t="s">
        <v>165</v>
      </c>
      <c r="B283" s="37" t="s">
        <v>74</v>
      </c>
      <c r="C283" s="5"/>
      <c r="D283" s="429"/>
      <c r="E283" s="430"/>
      <c r="F283" s="430"/>
      <c r="G283" s="429"/>
      <c r="H283" s="430"/>
      <c r="I283" s="430"/>
      <c r="J283" s="430"/>
      <c r="K283" s="430"/>
      <c r="L283" s="430"/>
      <c r="M283" s="472"/>
      <c r="N283" s="187" t="s">
        <v>327</v>
      </c>
    </row>
    <row r="284" spans="1:14" ht="15.75" x14ac:dyDescent="0.25">
      <c r="A284" s="79" t="s">
        <v>574</v>
      </c>
      <c r="B284" s="37" t="s">
        <v>16</v>
      </c>
      <c r="C284" s="5" t="s">
        <v>565</v>
      </c>
      <c r="D284" s="429">
        <f>NHANCONG!G270</f>
        <v>56.690699999999993</v>
      </c>
      <c r="E284" s="429">
        <f>THIETBI!I320</f>
        <v>0.21852272727272729</v>
      </c>
      <c r="F284" s="429">
        <f>DUNGCU!H379</f>
        <v>0.15261362179487181</v>
      </c>
      <c r="G284" s="429">
        <f>VATLIEU!F320</f>
        <v>8.9769000000000002E-2</v>
      </c>
      <c r="H284" s="429">
        <f>DIENNANG!F236</f>
        <v>1.9077059999999999</v>
      </c>
      <c r="I284" s="429">
        <f>SUM(Table10[[#This Row],[1]:[5]])</f>
        <v>59.059311349067585</v>
      </c>
      <c r="J284" s="429">
        <f>Table10[[#This Row],[6=1+...+5]]*15%</f>
        <v>8.8588967023601377</v>
      </c>
      <c r="K284" s="429">
        <f>(Table10[[#This Row],[6=1+...+5]]-Table10[[#This Row],[2]])*15%</f>
        <v>8.8261182932692286</v>
      </c>
      <c r="L284" s="429">
        <f>Table10[[#This Row],[6=1+...+5]]+Table10[[#This Row],[7=6*15%]]</f>
        <v>67.918208051427726</v>
      </c>
      <c r="M284" s="464">
        <f>I284-E284+K284</f>
        <v>67.666906915064089</v>
      </c>
      <c r="N284" s="187"/>
    </row>
    <row r="285" spans="1:14" ht="38.25" x14ac:dyDescent="0.25">
      <c r="A285" s="79" t="s">
        <v>575</v>
      </c>
      <c r="B285" s="37" t="s">
        <v>17</v>
      </c>
      <c r="C285" s="5"/>
      <c r="D285" s="429"/>
      <c r="E285" s="429"/>
      <c r="F285" s="429"/>
      <c r="G285" s="429"/>
      <c r="H285" s="429"/>
      <c r="I285" s="429"/>
      <c r="J285" s="429"/>
      <c r="K285" s="429"/>
      <c r="L285" s="429"/>
      <c r="M285" s="464"/>
      <c r="N285" s="187" t="s">
        <v>52</v>
      </c>
    </row>
    <row r="286" spans="1:14" ht="15.75" x14ac:dyDescent="0.25">
      <c r="A286" s="232" t="s">
        <v>228</v>
      </c>
      <c r="B286" s="278" t="s">
        <v>413</v>
      </c>
      <c r="C286" s="5"/>
      <c r="D286" s="429"/>
      <c r="E286" s="429"/>
      <c r="F286" s="429"/>
      <c r="G286" s="429"/>
      <c r="H286" s="429"/>
      <c r="I286" s="429"/>
      <c r="J286" s="429"/>
      <c r="K286" s="429"/>
      <c r="L286" s="429"/>
      <c r="M286" s="464"/>
      <c r="N286" s="224"/>
    </row>
    <row r="287" spans="1:14" ht="15.75" x14ac:dyDescent="0.25">
      <c r="A287" s="159" t="s">
        <v>89</v>
      </c>
      <c r="B287" s="48" t="s">
        <v>224</v>
      </c>
      <c r="C287" s="5" t="s">
        <v>411</v>
      </c>
      <c r="D287" s="429">
        <f>NHANCONG!G273</f>
        <v>468.64373999999998</v>
      </c>
      <c r="E287" s="429">
        <f>THIETBI!I323</f>
        <v>13.405090909090911</v>
      </c>
      <c r="F287" s="429">
        <v>0</v>
      </c>
      <c r="G287" s="429">
        <v>0</v>
      </c>
      <c r="H287" s="429">
        <v>0</v>
      </c>
      <c r="I287" s="429">
        <f>SUM(Table10[[#This Row],[1]:[5]])</f>
        <v>482.0488309090909</v>
      </c>
      <c r="J287" s="429">
        <f>Table10[[#This Row],[6=1+...+5]]*15%</f>
        <v>72.307324636363631</v>
      </c>
      <c r="K287" s="429">
        <f>(Table10[[#This Row],[6=1+...+5]]-Table10[[#This Row],[2]])*15%</f>
        <v>70.296560999999997</v>
      </c>
      <c r="L287" s="429">
        <f>Table10[[#This Row],[6=1+...+5]]+Table10[[#This Row],[7=6*15%]]</f>
        <v>554.3561555454545</v>
      </c>
      <c r="M287" s="464">
        <f t="shared" ref="M287:M294" si="67">I287-E287+K287</f>
        <v>538.94030099999998</v>
      </c>
      <c r="N287" s="187"/>
    </row>
    <row r="288" spans="1:14" ht="15.75" x14ac:dyDescent="0.25">
      <c r="A288" s="159" t="s">
        <v>89</v>
      </c>
      <c r="B288" s="48" t="s">
        <v>232</v>
      </c>
      <c r="C288" s="5" t="s">
        <v>411</v>
      </c>
      <c r="D288" s="429">
        <f>NHANCONG!G274</f>
        <v>831.46469999999999</v>
      </c>
      <c r="E288" s="429">
        <f>THIETBI!I324</f>
        <v>223.41818181818181</v>
      </c>
      <c r="F288" s="429">
        <v>0</v>
      </c>
      <c r="G288" s="429">
        <v>0</v>
      </c>
      <c r="H288" s="429">
        <v>0</v>
      </c>
      <c r="I288" s="429">
        <f>SUM(Table10[[#This Row],[1]:[5]])</f>
        <v>1054.8828818181819</v>
      </c>
      <c r="J288" s="429">
        <f>Table10[[#This Row],[6=1+...+5]]*15%</f>
        <v>158.23243227272727</v>
      </c>
      <c r="K288" s="429">
        <f>(Table10[[#This Row],[6=1+...+5]]-Table10[[#This Row],[2]])*15%</f>
        <v>124.719705</v>
      </c>
      <c r="L288" s="429">
        <f>Table10[[#This Row],[6=1+...+5]]+Table10[[#This Row],[7=6*15%]]</f>
        <v>1213.1153140909091</v>
      </c>
      <c r="M288" s="464">
        <f t="shared" si="67"/>
        <v>956.18440500000008</v>
      </c>
      <c r="N288" s="187"/>
    </row>
    <row r="289" spans="1:14" ht="15.75" x14ac:dyDescent="0.25">
      <c r="A289" s="159" t="s">
        <v>89</v>
      </c>
      <c r="B289" s="48" t="s">
        <v>225</v>
      </c>
      <c r="C289" s="5" t="s">
        <v>412</v>
      </c>
      <c r="D289" s="429">
        <f>NHANCONG!G275</f>
        <v>8571.6451799999995</v>
      </c>
      <c r="E289" s="429">
        <f>THIETBI!I325</f>
        <v>13.405090909090911</v>
      </c>
      <c r="F289" s="429">
        <v>0</v>
      </c>
      <c r="G289" s="429">
        <v>0</v>
      </c>
      <c r="H289" s="429">
        <v>0</v>
      </c>
      <c r="I289" s="429">
        <f>SUM(Table10[[#This Row],[1]:[5]])</f>
        <v>8585.0502709090906</v>
      </c>
      <c r="J289" s="429">
        <f>Table10[[#This Row],[6=1+...+5]]*15%</f>
        <v>1287.7575406363635</v>
      </c>
      <c r="K289" s="429">
        <f>(Table10[[#This Row],[6=1+...+5]]-Table10[[#This Row],[2]])*15%</f>
        <v>1285.7467769999998</v>
      </c>
      <c r="L289" s="429">
        <f>Table10[[#This Row],[6=1+...+5]]+Table10[[#This Row],[7=6*15%]]</f>
        <v>9872.8078115454537</v>
      </c>
      <c r="M289" s="464">
        <f t="shared" si="67"/>
        <v>9857.3919569999998</v>
      </c>
      <c r="N289" s="187"/>
    </row>
    <row r="290" spans="1:14" ht="15.75" x14ac:dyDescent="0.25">
      <c r="A290" s="159" t="s">
        <v>89</v>
      </c>
      <c r="B290" s="48" t="s">
        <v>233</v>
      </c>
      <c r="C290" s="5" t="s">
        <v>412</v>
      </c>
      <c r="D290" s="429">
        <f>NHANCONG!G276</f>
        <v>10128.7518</v>
      </c>
      <c r="E290" s="429">
        <f>THIETBI!I326</f>
        <v>223.41818181818181</v>
      </c>
      <c r="F290" s="429">
        <v>0</v>
      </c>
      <c r="G290" s="429">
        <v>0</v>
      </c>
      <c r="H290" s="429">
        <v>0</v>
      </c>
      <c r="I290" s="429">
        <f>SUM(Table10[[#This Row],[1]:[5]])</f>
        <v>10352.169981818182</v>
      </c>
      <c r="J290" s="429">
        <f>Table10[[#This Row],[6=1+...+5]]*15%</f>
        <v>1552.8254972727273</v>
      </c>
      <c r="K290" s="429">
        <f>(Table10[[#This Row],[6=1+...+5]]-Table10[[#This Row],[2]])*15%</f>
        <v>1519.31277</v>
      </c>
      <c r="L290" s="429">
        <f>Table10[[#This Row],[6=1+...+5]]+Table10[[#This Row],[7=6*15%]]</f>
        <v>11904.995479090911</v>
      </c>
      <c r="M290" s="464">
        <f t="shared" si="67"/>
        <v>11648.06457</v>
      </c>
      <c r="N290" s="187"/>
    </row>
    <row r="291" spans="1:14" ht="31.5" x14ac:dyDescent="0.25">
      <c r="A291" s="159" t="s">
        <v>89</v>
      </c>
      <c r="B291" s="48" t="s">
        <v>226</v>
      </c>
      <c r="C291" s="5" t="s">
        <v>411</v>
      </c>
      <c r="D291" s="429">
        <f>NHANCONG!G277</f>
        <v>136.05786000000001</v>
      </c>
      <c r="E291" s="429">
        <f>THIETBI!I327</f>
        <v>13.405090909090911</v>
      </c>
      <c r="F291" s="429">
        <v>0</v>
      </c>
      <c r="G291" s="429">
        <v>0</v>
      </c>
      <c r="H291" s="429">
        <v>0</v>
      </c>
      <c r="I291" s="429">
        <f>SUM(Table10[[#This Row],[1]:[5]])</f>
        <v>149.46295090909092</v>
      </c>
      <c r="J291" s="429">
        <f>Table10[[#This Row],[6=1+...+5]]*15%</f>
        <v>22.419442636363637</v>
      </c>
      <c r="K291" s="429">
        <f>(Table10[[#This Row],[6=1+...+5]]-Table10[[#This Row],[2]])*15%</f>
        <v>20.408678999999999</v>
      </c>
      <c r="L291" s="429">
        <f>Table10[[#This Row],[6=1+...+5]]+Table10[[#This Row],[7=6*15%]]</f>
        <v>171.88239354545456</v>
      </c>
      <c r="M291" s="464">
        <f t="shared" si="67"/>
        <v>156.46653900000001</v>
      </c>
      <c r="N291" s="187"/>
    </row>
    <row r="292" spans="1:14" ht="31.5" x14ac:dyDescent="0.25">
      <c r="A292" s="159" t="s">
        <v>89</v>
      </c>
      <c r="B292" s="48" t="s">
        <v>234</v>
      </c>
      <c r="C292" s="5" t="s">
        <v>411</v>
      </c>
      <c r="D292" s="429">
        <f>NHANCONG!G278</f>
        <v>226.76309999999998</v>
      </c>
      <c r="E292" s="429">
        <f>THIETBI!I328</f>
        <v>58.088727272727262</v>
      </c>
      <c r="F292" s="429">
        <v>0</v>
      </c>
      <c r="G292" s="429">
        <v>0</v>
      </c>
      <c r="H292" s="429">
        <v>0</v>
      </c>
      <c r="I292" s="429">
        <f>SUM(Table10[[#This Row],[1]:[5]])</f>
        <v>284.85182727272723</v>
      </c>
      <c r="J292" s="429">
        <f>Table10[[#This Row],[6=1+...+5]]*15%</f>
        <v>42.727774090909087</v>
      </c>
      <c r="K292" s="429">
        <f>(Table10[[#This Row],[6=1+...+5]]-Table10[[#This Row],[2]])*15%</f>
        <v>34.014464999999994</v>
      </c>
      <c r="L292" s="429">
        <f>Table10[[#This Row],[6=1+...+5]]+Table10[[#This Row],[7=6*15%]]</f>
        <v>327.5796013636363</v>
      </c>
      <c r="M292" s="464">
        <f t="shared" si="67"/>
        <v>260.77756499999998</v>
      </c>
      <c r="N292" s="187"/>
    </row>
    <row r="293" spans="1:14" ht="15.75" x14ac:dyDescent="0.25">
      <c r="A293" s="159" t="s">
        <v>89</v>
      </c>
      <c r="B293" s="48" t="s">
        <v>227</v>
      </c>
      <c r="C293" s="5" t="s">
        <v>412</v>
      </c>
      <c r="D293" s="429">
        <f>NHANCONG!G279</f>
        <v>2161.8082199999999</v>
      </c>
      <c r="E293" s="429">
        <f>THIETBI!I329</f>
        <v>13.405090909090911</v>
      </c>
      <c r="F293" s="429">
        <v>0</v>
      </c>
      <c r="G293" s="429">
        <v>0</v>
      </c>
      <c r="H293" s="429">
        <v>0</v>
      </c>
      <c r="I293" s="429">
        <f>SUM(Table10[[#This Row],[1]:[5]])</f>
        <v>2175.213310909091</v>
      </c>
      <c r="J293" s="429">
        <f>Table10[[#This Row],[6=1+...+5]]*15%</f>
        <v>326.28199663636366</v>
      </c>
      <c r="K293" s="429">
        <f>(Table10[[#This Row],[6=1+...+5]]-Table10[[#This Row],[2]])*15%</f>
        <v>324.271233</v>
      </c>
      <c r="L293" s="429">
        <f>Table10[[#This Row],[6=1+...+5]]+Table10[[#This Row],[7=6*15%]]</f>
        <v>2501.4953075454546</v>
      </c>
      <c r="M293" s="464">
        <f t="shared" si="67"/>
        <v>2486.0794529999998</v>
      </c>
      <c r="N293" s="187"/>
    </row>
    <row r="294" spans="1:14" ht="15.75" x14ac:dyDescent="0.25">
      <c r="A294" s="159" t="s">
        <v>89</v>
      </c>
      <c r="B294" s="48" t="s">
        <v>227</v>
      </c>
      <c r="C294" s="5" t="s">
        <v>412</v>
      </c>
      <c r="D294" s="429">
        <f>NHANCONG!G280</f>
        <v>2569.9818</v>
      </c>
      <c r="E294" s="429">
        <f>THIETBI!I330</f>
        <v>58.088727272727262</v>
      </c>
      <c r="F294" s="429">
        <v>0</v>
      </c>
      <c r="G294" s="429">
        <v>0</v>
      </c>
      <c r="H294" s="429">
        <v>0</v>
      </c>
      <c r="I294" s="429">
        <f>SUM(Table10[[#This Row],[1]:[5]])</f>
        <v>2628.0705272727273</v>
      </c>
      <c r="J294" s="429">
        <f>Table10[[#This Row],[6=1+...+5]]*15%</f>
        <v>394.21057909090911</v>
      </c>
      <c r="K294" s="429">
        <f>(Table10[[#This Row],[6=1+...+5]]-Table10[[#This Row],[2]])*15%</f>
        <v>385.49727000000001</v>
      </c>
      <c r="L294" s="429">
        <f>Table10[[#This Row],[6=1+...+5]]+Table10[[#This Row],[7=6*15%]]</f>
        <v>3022.2811063636364</v>
      </c>
      <c r="M294" s="464">
        <f t="shared" si="67"/>
        <v>2955.4790699999999</v>
      </c>
      <c r="N294" s="187"/>
    </row>
    <row r="295" spans="1:14" ht="15.75" x14ac:dyDescent="0.25">
      <c r="A295" s="232" t="s">
        <v>229</v>
      </c>
      <c r="B295" s="278" t="s">
        <v>414</v>
      </c>
      <c r="C295" s="5"/>
      <c r="D295" s="429"/>
      <c r="E295" s="429"/>
      <c r="F295" s="429"/>
      <c r="G295" s="429"/>
      <c r="H295" s="429"/>
      <c r="I295" s="429"/>
      <c r="J295" s="429"/>
      <c r="K295" s="429"/>
      <c r="L295" s="429"/>
      <c r="M295" s="464"/>
      <c r="N295" s="224"/>
    </row>
    <row r="296" spans="1:14" ht="15.75" x14ac:dyDescent="0.25">
      <c r="A296" s="159" t="s">
        <v>89</v>
      </c>
      <c r="B296" s="48" t="s">
        <v>224</v>
      </c>
      <c r="C296" s="5" t="s">
        <v>411</v>
      </c>
      <c r="D296" s="429">
        <f>NHANCONG!G282</f>
        <v>585.80467499999997</v>
      </c>
      <c r="E296" s="429">
        <f>THIETBI!I332</f>
        <v>16.854545454545455</v>
      </c>
      <c r="F296" s="429">
        <v>0</v>
      </c>
      <c r="G296" s="429">
        <v>0</v>
      </c>
      <c r="H296" s="429">
        <v>0</v>
      </c>
      <c r="I296" s="429">
        <f>SUM(Table10[[#This Row],[1]:[5]])</f>
        <v>602.65922045454545</v>
      </c>
      <c r="J296" s="429">
        <f>Table10[[#This Row],[6=1+...+5]]*15%</f>
        <v>90.398883068181817</v>
      </c>
      <c r="K296" s="429">
        <f>(Table10[[#This Row],[6=1+...+5]]-Table10[[#This Row],[2]])*15%</f>
        <v>87.870701249999996</v>
      </c>
      <c r="L296" s="429">
        <f>Table10[[#This Row],[6=1+...+5]]+Table10[[#This Row],[7=6*15%]]</f>
        <v>693.05810352272727</v>
      </c>
      <c r="M296" s="464">
        <f t="shared" ref="M296:M303" si="68">I296-E296+K296</f>
        <v>673.67537625</v>
      </c>
      <c r="N296" s="187"/>
    </row>
    <row r="297" spans="1:14" ht="15.75" x14ac:dyDescent="0.25">
      <c r="A297" s="159" t="s">
        <v>89</v>
      </c>
      <c r="B297" s="48" t="s">
        <v>232</v>
      </c>
      <c r="C297" s="5" t="s">
        <v>411</v>
      </c>
      <c r="D297" s="429">
        <f>NHANCONG!G283</f>
        <v>1039.3308749999999</v>
      </c>
      <c r="E297" s="429">
        <f>THIETBI!I333</f>
        <v>280.90909090909088</v>
      </c>
      <c r="F297" s="429">
        <v>0</v>
      </c>
      <c r="G297" s="429">
        <v>0</v>
      </c>
      <c r="H297" s="429">
        <v>0</v>
      </c>
      <c r="I297" s="429">
        <f>SUM(Table10[[#This Row],[1]:[5]])</f>
        <v>1320.2399659090906</v>
      </c>
      <c r="J297" s="429">
        <f>Table10[[#This Row],[6=1+...+5]]*15%</f>
        <v>198.0359948863636</v>
      </c>
      <c r="K297" s="429">
        <f>(Table10[[#This Row],[6=1+...+5]]-Table10[[#This Row],[2]])*15%</f>
        <v>155.89963124999994</v>
      </c>
      <c r="L297" s="429">
        <f>Table10[[#This Row],[6=1+...+5]]+Table10[[#This Row],[7=6*15%]]</f>
        <v>1518.2759607954542</v>
      </c>
      <c r="M297" s="464">
        <f t="shared" si="68"/>
        <v>1195.2305062499995</v>
      </c>
      <c r="N297" s="187"/>
    </row>
    <row r="298" spans="1:14" ht="15.75" x14ac:dyDescent="0.25">
      <c r="A298" s="159" t="s">
        <v>89</v>
      </c>
      <c r="B298" s="48" t="s">
        <v>225</v>
      </c>
      <c r="C298" s="5" t="s">
        <v>412</v>
      </c>
      <c r="D298" s="429">
        <f>NHANCONG!G284</f>
        <v>10714.556474999999</v>
      </c>
      <c r="E298" s="429">
        <f>THIETBI!I334</f>
        <v>16.854545454545455</v>
      </c>
      <c r="F298" s="429">
        <v>0</v>
      </c>
      <c r="G298" s="429">
        <v>0</v>
      </c>
      <c r="H298" s="429">
        <v>0</v>
      </c>
      <c r="I298" s="429">
        <f>SUM(Table10[[#This Row],[1]:[5]])</f>
        <v>10731.411020454545</v>
      </c>
      <c r="J298" s="429">
        <f>Table10[[#This Row],[6=1+...+5]]*15%</f>
        <v>1609.7116530681817</v>
      </c>
      <c r="K298" s="429">
        <f>(Table10[[#This Row],[6=1+...+5]]-Table10[[#This Row],[2]])*15%</f>
        <v>1607.1834712499999</v>
      </c>
      <c r="L298" s="429">
        <f>Table10[[#This Row],[6=1+...+5]]+Table10[[#This Row],[7=6*15%]]</f>
        <v>12341.122673522726</v>
      </c>
      <c r="M298" s="464">
        <f t="shared" si="68"/>
        <v>12321.73994625</v>
      </c>
      <c r="N298" s="187"/>
    </row>
    <row r="299" spans="1:14" ht="15.75" x14ac:dyDescent="0.25">
      <c r="A299" s="159" t="s">
        <v>89</v>
      </c>
      <c r="B299" s="48" t="s">
        <v>233</v>
      </c>
      <c r="C299" s="5" t="s">
        <v>412</v>
      </c>
      <c r="D299" s="429">
        <f>NHANCONG!G285</f>
        <v>12660.939750000001</v>
      </c>
      <c r="E299" s="429">
        <f>THIETBI!I335</f>
        <v>280.90909090909088</v>
      </c>
      <c r="F299" s="429">
        <v>0</v>
      </c>
      <c r="G299" s="429">
        <v>0</v>
      </c>
      <c r="H299" s="429">
        <v>0</v>
      </c>
      <c r="I299" s="429">
        <f>SUM(Table10[[#This Row],[1]:[5]])</f>
        <v>12941.848840909091</v>
      </c>
      <c r="J299" s="429">
        <f>Table10[[#This Row],[6=1+...+5]]*15%</f>
        <v>1941.2773261363636</v>
      </c>
      <c r="K299" s="429">
        <f>(Table10[[#This Row],[6=1+...+5]]-Table10[[#This Row],[2]])*15%</f>
        <v>1899.1409625000001</v>
      </c>
      <c r="L299" s="429">
        <f>Table10[[#This Row],[6=1+...+5]]+Table10[[#This Row],[7=6*15%]]</f>
        <v>14883.126167045455</v>
      </c>
      <c r="M299" s="464">
        <f t="shared" si="68"/>
        <v>14560.080712500001</v>
      </c>
      <c r="N299" s="187"/>
    </row>
    <row r="300" spans="1:14" ht="31.5" x14ac:dyDescent="0.25">
      <c r="A300" s="159" t="s">
        <v>89</v>
      </c>
      <c r="B300" s="48" t="s">
        <v>226</v>
      </c>
      <c r="C300" s="5" t="s">
        <v>411</v>
      </c>
      <c r="D300" s="429">
        <f>NHANCONG!G286</f>
        <v>170.07232500000001</v>
      </c>
      <c r="E300" s="429">
        <f>THIETBI!I336</f>
        <v>16.854545454545455</v>
      </c>
      <c r="F300" s="429">
        <v>0</v>
      </c>
      <c r="G300" s="429">
        <v>0</v>
      </c>
      <c r="H300" s="429">
        <v>0</v>
      </c>
      <c r="I300" s="429">
        <f>SUM(Table10[[#This Row],[1]:[5]])</f>
        <v>186.92687045454545</v>
      </c>
      <c r="J300" s="429">
        <f>Table10[[#This Row],[6=1+...+5]]*15%</f>
        <v>28.039030568181818</v>
      </c>
      <c r="K300" s="429">
        <f>(Table10[[#This Row],[6=1+...+5]]-Table10[[#This Row],[2]])*15%</f>
        <v>25.510848750000001</v>
      </c>
      <c r="L300" s="429">
        <f>Table10[[#This Row],[6=1+...+5]]+Table10[[#This Row],[7=6*15%]]</f>
        <v>214.96590102272728</v>
      </c>
      <c r="M300" s="464">
        <f t="shared" si="68"/>
        <v>195.58317375000001</v>
      </c>
      <c r="N300" s="187"/>
    </row>
    <row r="301" spans="1:14" ht="31.5" x14ac:dyDescent="0.25">
      <c r="A301" s="159" t="s">
        <v>89</v>
      </c>
      <c r="B301" s="48" t="s">
        <v>234</v>
      </c>
      <c r="C301" s="5" t="s">
        <v>411</v>
      </c>
      <c r="D301" s="429">
        <f>NHANCONG!G287</f>
        <v>283.45387499999998</v>
      </c>
      <c r="E301" s="429">
        <f>THIETBI!I337</f>
        <v>73.036363636363618</v>
      </c>
      <c r="F301" s="429">
        <v>0</v>
      </c>
      <c r="G301" s="429">
        <v>0</v>
      </c>
      <c r="H301" s="429">
        <v>0</v>
      </c>
      <c r="I301" s="429">
        <f>SUM(Table10[[#This Row],[1]:[5]])</f>
        <v>356.49023863636359</v>
      </c>
      <c r="J301" s="429">
        <f>Table10[[#This Row],[6=1+...+5]]*15%</f>
        <v>53.473535795454538</v>
      </c>
      <c r="K301" s="429">
        <f>(Table10[[#This Row],[6=1+...+5]]-Table10[[#This Row],[2]])*15%</f>
        <v>42.518081249999994</v>
      </c>
      <c r="L301" s="429">
        <f>Table10[[#This Row],[6=1+...+5]]+Table10[[#This Row],[7=6*15%]]</f>
        <v>409.96377443181814</v>
      </c>
      <c r="M301" s="464">
        <f t="shared" si="68"/>
        <v>325.97195624999995</v>
      </c>
      <c r="N301" s="187"/>
    </row>
    <row r="302" spans="1:14" ht="15.75" x14ac:dyDescent="0.25">
      <c r="A302" s="159" t="s">
        <v>89</v>
      </c>
      <c r="B302" s="48" t="s">
        <v>227</v>
      </c>
      <c r="C302" s="5" t="s">
        <v>412</v>
      </c>
      <c r="D302" s="429">
        <f>NHANCONG!G288</f>
        <v>2702.2602750000001</v>
      </c>
      <c r="E302" s="429">
        <f>THIETBI!I338</f>
        <v>16.854545454545455</v>
      </c>
      <c r="F302" s="429">
        <v>0</v>
      </c>
      <c r="G302" s="429">
        <v>0</v>
      </c>
      <c r="H302" s="429">
        <v>0</v>
      </c>
      <c r="I302" s="429">
        <f>SUM(Table10[[#This Row],[1]:[5]])</f>
        <v>2719.1148204545457</v>
      </c>
      <c r="J302" s="429">
        <f>Table10[[#This Row],[6=1+...+5]]*15%</f>
        <v>407.86722306818183</v>
      </c>
      <c r="K302" s="429">
        <f>(Table10[[#This Row],[6=1+...+5]]-Table10[[#This Row],[2]])*15%</f>
        <v>405.33904124999998</v>
      </c>
      <c r="L302" s="429">
        <f>Table10[[#This Row],[6=1+...+5]]+Table10[[#This Row],[7=6*15%]]</f>
        <v>3126.9820435227275</v>
      </c>
      <c r="M302" s="464">
        <f t="shared" si="68"/>
        <v>3107.5993162499999</v>
      </c>
      <c r="N302" s="187"/>
    </row>
    <row r="303" spans="1:14" ht="15.75" x14ac:dyDescent="0.25">
      <c r="A303" s="159" t="s">
        <v>89</v>
      </c>
      <c r="B303" s="48" t="s">
        <v>227</v>
      </c>
      <c r="C303" s="5" t="s">
        <v>412</v>
      </c>
      <c r="D303" s="429">
        <f>NHANCONG!G289</f>
        <v>3212.4772500000004</v>
      </c>
      <c r="E303" s="429">
        <f>THIETBI!I339</f>
        <v>73.036363636363618</v>
      </c>
      <c r="F303" s="429">
        <v>0</v>
      </c>
      <c r="G303" s="429">
        <v>0</v>
      </c>
      <c r="H303" s="429">
        <v>0</v>
      </c>
      <c r="I303" s="429">
        <f>SUM(Table10[[#This Row],[1]:[5]])</f>
        <v>3285.513613636364</v>
      </c>
      <c r="J303" s="429">
        <f>Table10[[#This Row],[6=1+...+5]]*15%</f>
        <v>492.82704204545456</v>
      </c>
      <c r="K303" s="429">
        <f>(Table10[[#This Row],[6=1+...+5]]-Table10[[#This Row],[2]])*15%</f>
        <v>481.87158750000003</v>
      </c>
      <c r="L303" s="429">
        <f>Table10[[#This Row],[6=1+...+5]]+Table10[[#This Row],[7=6*15%]]</f>
        <v>3778.3406556818186</v>
      </c>
      <c r="M303" s="464">
        <f t="shared" si="68"/>
        <v>3694.3488375000006</v>
      </c>
      <c r="N303" s="187"/>
    </row>
    <row r="304" spans="1:14" ht="15.75" x14ac:dyDescent="0.25">
      <c r="A304" s="232" t="s">
        <v>230</v>
      </c>
      <c r="B304" s="278" t="s">
        <v>415</v>
      </c>
      <c r="C304" s="5"/>
      <c r="D304" s="429"/>
      <c r="E304" s="429"/>
      <c r="F304" s="429"/>
      <c r="G304" s="429"/>
      <c r="H304" s="429"/>
      <c r="I304" s="429"/>
      <c r="J304" s="429"/>
      <c r="K304" s="429"/>
      <c r="L304" s="429"/>
      <c r="M304" s="464"/>
      <c r="N304" s="224"/>
    </row>
    <row r="305" spans="1:14" ht="15.75" x14ac:dyDescent="0.25">
      <c r="A305" s="159" t="s">
        <v>89</v>
      </c>
      <c r="B305" s="48" t="s">
        <v>224</v>
      </c>
      <c r="C305" s="5" t="s">
        <v>411</v>
      </c>
      <c r="D305" s="429">
        <f>NHANCONG!G291</f>
        <v>761.54607749999991</v>
      </c>
      <c r="E305" s="429">
        <f>THIETBI!I341</f>
        <v>22.102363636363638</v>
      </c>
      <c r="F305" s="429">
        <v>0</v>
      </c>
      <c r="G305" s="429">
        <v>0</v>
      </c>
      <c r="H305" s="429">
        <v>0</v>
      </c>
      <c r="I305" s="429">
        <f>SUM(Table10[[#This Row],[1]:[5]])</f>
        <v>783.64844113636354</v>
      </c>
      <c r="J305" s="429">
        <f>Table10[[#This Row],[6=1+...+5]]*15%</f>
        <v>117.54726617045452</v>
      </c>
      <c r="K305" s="429">
        <f>(Table10[[#This Row],[6=1+...+5]]-Table10[[#This Row],[2]])*15%</f>
        <v>114.23191162499998</v>
      </c>
      <c r="L305" s="429">
        <f>Table10[[#This Row],[6=1+...+5]]+Table10[[#This Row],[7=6*15%]]</f>
        <v>901.19570730681812</v>
      </c>
      <c r="M305" s="464">
        <f t="shared" ref="M305:M312" si="69">I305-E305+K305</f>
        <v>875.77798912499986</v>
      </c>
      <c r="N305" s="187"/>
    </row>
    <row r="306" spans="1:14" ht="15.75" x14ac:dyDescent="0.25">
      <c r="A306" s="159" t="s">
        <v>89</v>
      </c>
      <c r="B306" s="48" t="s">
        <v>232</v>
      </c>
      <c r="C306" s="5" t="s">
        <v>411</v>
      </c>
      <c r="D306" s="429">
        <f>NHANCONG!G292</f>
        <v>1351.1301375</v>
      </c>
      <c r="E306" s="429">
        <f>THIETBI!I342</f>
        <v>368.37272727272722</v>
      </c>
      <c r="F306" s="429">
        <v>0</v>
      </c>
      <c r="G306" s="429">
        <v>0</v>
      </c>
      <c r="H306" s="429">
        <v>0</v>
      </c>
      <c r="I306" s="429">
        <f>SUM(Table10[[#This Row],[1]:[5]])</f>
        <v>1719.5028647727272</v>
      </c>
      <c r="J306" s="429">
        <f>Table10[[#This Row],[6=1+...+5]]*15%</f>
        <v>257.92542971590905</v>
      </c>
      <c r="K306" s="429">
        <f>(Table10[[#This Row],[6=1+...+5]]-Table10[[#This Row],[2]])*15%</f>
        <v>202.66952062499999</v>
      </c>
      <c r="L306" s="429">
        <f>Table10[[#This Row],[6=1+...+5]]+Table10[[#This Row],[7=6*15%]]</f>
        <v>1977.4282944886363</v>
      </c>
      <c r="M306" s="464">
        <f t="shared" si="69"/>
        <v>1553.799658125</v>
      </c>
      <c r="N306" s="187"/>
    </row>
    <row r="307" spans="1:14" ht="15.75" x14ac:dyDescent="0.25">
      <c r="A307" s="159" t="s">
        <v>89</v>
      </c>
      <c r="B307" s="48" t="s">
        <v>225</v>
      </c>
      <c r="C307" s="5" t="s">
        <v>412</v>
      </c>
      <c r="D307" s="429">
        <f>NHANCONG!G293</f>
        <v>13928.9234175</v>
      </c>
      <c r="E307" s="429">
        <f>THIETBI!I343</f>
        <v>22.102363636363638</v>
      </c>
      <c r="F307" s="429">
        <v>0</v>
      </c>
      <c r="G307" s="429">
        <v>0</v>
      </c>
      <c r="H307" s="429">
        <v>0</v>
      </c>
      <c r="I307" s="429">
        <f>SUM(Table10[[#This Row],[1]:[5]])</f>
        <v>13951.025781136364</v>
      </c>
      <c r="J307" s="429">
        <f>Table10[[#This Row],[6=1+...+5]]*15%</f>
        <v>2092.6538671704548</v>
      </c>
      <c r="K307" s="429">
        <f>(Table10[[#This Row],[6=1+...+5]]-Table10[[#This Row],[2]])*15%</f>
        <v>2089.338512625</v>
      </c>
      <c r="L307" s="429">
        <f>Table10[[#This Row],[6=1+...+5]]+Table10[[#This Row],[7=6*15%]]</f>
        <v>16043.679648306819</v>
      </c>
      <c r="M307" s="464">
        <f t="shared" si="69"/>
        <v>16018.261930125</v>
      </c>
      <c r="N307" s="187"/>
    </row>
    <row r="308" spans="1:14" ht="15.75" x14ac:dyDescent="0.25">
      <c r="A308" s="159" t="s">
        <v>89</v>
      </c>
      <c r="B308" s="48" t="s">
        <v>233</v>
      </c>
      <c r="C308" s="5" t="s">
        <v>412</v>
      </c>
      <c r="D308" s="429">
        <f>NHANCONG!G294</f>
        <v>16459.221675000001</v>
      </c>
      <c r="E308" s="429">
        <f>THIETBI!I344</f>
        <v>368.37272727272722</v>
      </c>
      <c r="F308" s="429">
        <v>0</v>
      </c>
      <c r="G308" s="429">
        <v>0</v>
      </c>
      <c r="H308" s="429">
        <v>0</v>
      </c>
      <c r="I308" s="429">
        <f>SUM(Table10[[#This Row],[1]:[5]])</f>
        <v>16827.594402272727</v>
      </c>
      <c r="J308" s="429">
        <f>Table10[[#This Row],[6=1+...+5]]*15%</f>
        <v>2524.1391603409088</v>
      </c>
      <c r="K308" s="429">
        <f>(Table10[[#This Row],[6=1+...+5]]-Table10[[#This Row],[2]])*15%</f>
        <v>2468.8832512499998</v>
      </c>
      <c r="L308" s="429">
        <f>Table10[[#This Row],[6=1+...+5]]+Table10[[#This Row],[7=6*15%]]</f>
        <v>19351.733562613637</v>
      </c>
      <c r="M308" s="464">
        <f t="shared" si="69"/>
        <v>18928.104926250002</v>
      </c>
      <c r="N308" s="187"/>
    </row>
    <row r="309" spans="1:14" ht="31.5" x14ac:dyDescent="0.25">
      <c r="A309" s="159" t="s">
        <v>89</v>
      </c>
      <c r="B309" s="48" t="s">
        <v>226</v>
      </c>
      <c r="C309" s="5" t="s">
        <v>411</v>
      </c>
      <c r="D309" s="429">
        <f>NHANCONG!G295</f>
        <v>221.09402249999999</v>
      </c>
      <c r="E309" s="429">
        <f>THIETBI!I345</f>
        <v>22.102363636363638</v>
      </c>
      <c r="F309" s="429">
        <v>0</v>
      </c>
      <c r="G309" s="429">
        <v>0</v>
      </c>
      <c r="H309" s="429">
        <v>0</v>
      </c>
      <c r="I309" s="429">
        <f>SUM(Table10[[#This Row],[1]:[5]])</f>
        <v>243.19638613636363</v>
      </c>
      <c r="J309" s="429">
        <f>Table10[[#This Row],[6=1+...+5]]*15%</f>
        <v>36.479457920454543</v>
      </c>
      <c r="K309" s="429">
        <f>(Table10[[#This Row],[6=1+...+5]]-Table10[[#This Row],[2]])*15%</f>
        <v>33.164103374999996</v>
      </c>
      <c r="L309" s="429">
        <f>Table10[[#This Row],[6=1+...+5]]+Table10[[#This Row],[7=6*15%]]</f>
        <v>279.67584405681816</v>
      </c>
      <c r="M309" s="464">
        <f t="shared" si="69"/>
        <v>254.25812587499999</v>
      </c>
      <c r="N309" s="187"/>
    </row>
    <row r="310" spans="1:14" ht="31.5" x14ac:dyDescent="0.25">
      <c r="A310" s="159" t="s">
        <v>89</v>
      </c>
      <c r="B310" s="48" t="s">
        <v>234</v>
      </c>
      <c r="C310" s="5" t="s">
        <v>411</v>
      </c>
      <c r="D310" s="429">
        <f>NHANCONG!G296</f>
        <v>368.49003749999997</v>
      </c>
      <c r="E310" s="429">
        <f>THIETBI!I346</f>
        <v>95.776909090909072</v>
      </c>
      <c r="F310" s="429">
        <v>0</v>
      </c>
      <c r="G310" s="429">
        <v>0</v>
      </c>
      <c r="H310" s="429">
        <v>0</v>
      </c>
      <c r="I310" s="429">
        <f>SUM(Table10[[#This Row],[1]:[5]])</f>
        <v>464.26694659090901</v>
      </c>
      <c r="J310" s="429">
        <f>Table10[[#This Row],[6=1+...+5]]*15%</f>
        <v>69.640041988636355</v>
      </c>
      <c r="K310" s="429">
        <f>(Table10[[#This Row],[6=1+...+5]]-Table10[[#This Row],[2]])*15%</f>
        <v>55.273505624999991</v>
      </c>
      <c r="L310" s="429">
        <f>Table10[[#This Row],[6=1+...+5]]+Table10[[#This Row],[7=6*15%]]</f>
        <v>533.90698857954533</v>
      </c>
      <c r="M310" s="464">
        <f t="shared" si="69"/>
        <v>423.76354312499996</v>
      </c>
      <c r="N310" s="187"/>
    </row>
    <row r="311" spans="1:14" ht="15.75" x14ac:dyDescent="0.25">
      <c r="A311" s="159" t="s">
        <v>89</v>
      </c>
      <c r="B311" s="48" t="s">
        <v>227</v>
      </c>
      <c r="C311" s="5" t="s">
        <v>412</v>
      </c>
      <c r="D311" s="429">
        <f>NHANCONG!G297</f>
        <v>3512.9383574999997</v>
      </c>
      <c r="E311" s="429">
        <f>THIETBI!I347</f>
        <v>22.102363636363638</v>
      </c>
      <c r="F311" s="429">
        <v>0</v>
      </c>
      <c r="G311" s="429">
        <v>0</v>
      </c>
      <c r="H311" s="429">
        <v>0</v>
      </c>
      <c r="I311" s="429">
        <f>SUM(Table10[[#This Row],[1]:[5]])</f>
        <v>3535.0407211363636</v>
      </c>
      <c r="J311" s="429">
        <f>Table10[[#This Row],[6=1+...+5]]*15%</f>
        <v>530.25610817045447</v>
      </c>
      <c r="K311" s="429">
        <f>(Table10[[#This Row],[6=1+...+5]]-Table10[[#This Row],[2]])*15%</f>
        <v>526.94075362499996</v>
      </c>
      <c r="L311" s="429">
        <f>Table10[[#This Row],[6=1+...+5]]+Table10[[#This Row],[7=6*15%]]</f>
        <v>4065.2968293068179</v>
      </c>
      <c r="M311" s="464">
        <f t="shared" si="69"/>
        <v>4039.8791111249998</v>
      </c>
      <c r="N311" s="187"/>
    </row>
    <row r="312" spans="1:14" ht="15.75" x14ac:dyDescent="0.25">
      <c r="A312" s="159" t="s">
        <v>89</v>
      </c>
      <c r="B312" s="48" t="s">
        <v>227</v>
      </c>
      <c r="C312" s="5" t="s">
        <v>412</v>
      </c>
      <c r="D312" s="429">
        <f>NHANCONG!G298</f>
        <v>4176.2204250000004</v>
      </c>
      <c r="E312" s="429">
        <f>THIETBI!I348</f>
        <v>95.776909090909072</v>
      </c>
      <c r="F312" s="429">
        <v>0</v>
      </c>
      <c r="G312" s="429">
        <v>0</v>
      </c>
      <c r="H312" s="429">
        <v>0</v>
      </c>
      <c r="I312" s="429">
        <f>SUM(Table10[[#This Row],[1]:[5]])</f>
        <v>4271.9973340909091</v>
      </c>
      <c r="J312" s="429">
        <f>Table10[[#This Row],[6=1+...+5]]*15%</f>
        <v>640.7996001136363</v>
      </c>
      <c r="K312" s="429">
        <f>(Table10[[#This Row],[6=1+...+5]]-Table10[[#This Row],[2]])*15%</f>
        <v>626.43306375000009</v>
      </c>
      <c r="L312" s="429">
        <f>Table10[[#This Row],[6=1+...+5]]+Table10[[#This Row],[7=6*15%]]</f>
        <v>4912.7969342045453</v>
      </c>
      <c r="M312" s="464">
        <f t="shared" si="69"/>
        <v>4802.6534887500002</v>
      </c>
      <c r="N312" s="187"/>
    </row>
    <row r="313" spans="1:14" ht="38.25" x14ac:dyDescent="0.25">
      <c r="A313" s="79" t="s">
        <v>166</v>
      </c>
      <c r="B313" s="48" t="s">
        <v>75</v>
      </c>
      <c r="C313" s="76"/>
      <c r="D313" s="430"/>
      <c r="E313" s="430"/>
      <c r="F313" s="430"/>
      <c r="G313" s="429"/>
      <c r="H313" s="430"/>
      <c r="I313" s="430"/>
      <c r="J313" s="430"/>
      <c r="K313" s="430"/>
      <c r="L313" s="430"/>
      <c r="M313" s="430"/>
      <c r="N313" s="42" t="s">
        <v>447</v>
      </c>
    </row>
    <row r="314" spans="1:14" ht="15.75" x14ac:dyDescent="0.25">
      <c r="A314" s="79"/>
      <c r="B314" s="37" t="s">
        <v>505</v>
      </c>
      <c r="C314" s="76" t="s">
        <v>412</v>
      </c>
      <c r="D314" s="429">
        <f>NHANCONG!G300</f>
        <v>472.42312500000003</v>
      </c>
      <c r="E314" s="430">
        <f>THIETBI!I350</f>
        <v>11.236363636363636</v>
      </c>
      <c r="F314" s="430">
        <f>DUNGCU!$H$381</f>
        <v>0</v>
      </c>
      <c r="G314" s="429">
        <f>VATLIEU!$F$322</f>
        <v>0</v>
      </c>
      <c r="H314" s="430">
        <f>DIENNANG!$F$238</f>
        <v>0</v>
      </c>
      <c r="I314" s="429">
        <f>SUM(Table10[[#This Row],[1]:[5]])</f>
        <v>483.65948863636368</v>
      </c>
      <c r="J314" s="429">
        <f>Table10[[#This Row],[6=1+...+5]]*15%</f>
        <v>72.548923295454543</v>
      </c>
      <c r="K314" s="429">
        <f>(Table10[[#This Row],[6=1+...+5]]-Table10[[#This Row],[2]])*15%</f>
        <v>70.863468749999996</v>
      </c>
      <c r="L314" s="429">
        <f>Table10[[#This Row],[6=1+...+5]]+Table10[[#This Row],[7=6*15%]]</f>
        <v>556.2084119318182</v>
      </c>
      <c r="M314" s="464">
        <f t="shared" ref="M314:M319" si="70">I314-E314+K314</f>
        <v>543.28659375000007</v>
      </c>
      <c r="N314" s="187"/>
    </row>
    <row r="315" spans="1:14" ht="15.75" x14ac:dyDescent="0.25">
      <c r="A315" s="79"/>
      <c r="B315" s="37" t="s">
        <v>510</v>
      </c>
      <c r="C315" s="76" t="s">
        <v>566</v>
      </c>
      <c r="D315" s="429">
        <f>NHANCONG!G301</f>
        <v>944.84625000000005</v>
      </c>
      <c r="E315" s="430">
        <f>THIETBI!I351</f>
        <v>22.472727272727273</v>
      </c>
      <c r="F315" s="430">
        <f>DUNGCU!$H$381</f>
        <v>0</v>
      </c>
      <c r="G315" s="429">
        <f>VATLIEU!$F$322</f>
        <v>0</v>
      </c>
      <c r="H315" s="430">
        <f>DIENNANG!$F$238</f>
        <v>0</v>
      </c>
      <c r="I315" s="429">
        <f>SUM(Table10[[#This Row],[1]:[5]])</f>
        <v>967.31897727272735</v>
      </c>
      <c r="J315" s="429">
        <f>Table10[[#This Row],[6=1+...+5]]*15%</f>
        <v>145.09784659090909</v>
      </c>
      <c r="K315" s="429">
        <f>(Table10[[#This Row],[6=1+...+5]]-Table10[[#This Row],[2]])*15%</f>
        <v>141.72693749999999</v>
      </c>
      <c r="L315" s="429">
        <f>Table10[[#This Row],[6=1+...+5]]+Table10[[#This Row],[7=6*15%]]</f>
        <v>1112.4168238636364</v>
      </c>
      <c r="M315" s="464">
        <f t="shared" si="70"/>
        <v>1086.5731875000001</v>
      </c>
      <c r="N315" s="187" t="s">
        <v>570</v>
      </c>
    </row>
    <row r="316" spans="1:14" ht="15.75" x14ac:dyDescent="0.25">
      <c r="A316" s="79"/>
      <c r="B316" s="37" t="s">
        <v>513</v>
      </c>
      <c r="C316" s="76" t="s">
        <v>567</v>
      </c>
      <c r="D316" s="429">
        <f>NHANCONG!G302</f>
        <v>1889.6925000000001</v>
      </c>
      <c r="E316" s="430">
        <f>THIETBI!I352</f>
        <v>44.945454545454545</v>
      </c>
      <c r="F316" s="430">
        <f>DUNGCU!$H$381</f>
        <v>0</v>
      </c>
      <c r="G316" s="429">
        <f>VATLIEU!$F$322</f>
        <v>0</v>
      </c>
      <c r="H316" s="430">
        <f>DIENNANG!$F$238</f>
        <v>0</v>
      </c>
      <c r="I316" s="429">
        <f>SUM(Table10[[#This Row],[1]:[5]])</f>
        <v>1934.6379545454547</v>
      </c>
      <c r="J316" s="429">
        <f>Table10[[#This Row],[6=1+...+5]]*15%</f>
        <v>290.19569318181817</v>
      </c>
      <c r="K316" s="429">
        <f>(Table10[[#This Row],[6=1+...+5]]-Table10[[#This Row],[2]])*15%</f>
        <v>283.45387499999998</v>
      </c>
      <c r="L316" s="429">
        <f>Table10[[#This Row],[6=1+...+5]]+Table10[[#This Row],[7=6*15%]]</f>
        <v>2224.8336477272728</v>
      </c>
      <c r="M316" s="464">
        <f t="shared" si="70"/>
        <v>2173.1463750000003</v>
      </c>
      <c r="N316" s="187" t="s">
        <v>571</v>
      </c>
    </row>
    <row r="317" spans="1:14" ht="15.75" x14ac:dyDescent="0.25">
      <c r="A317" s="79"/>
      <c r="B317" s="37" t="s">
        <v>516</v>
      </c>
      <c r="C317" s="76" t="s">
        <v>568</v>
      </c>
      <c r="D317" s="429">
        <f>NHANCONG!G303</f>
        <v>3779.3850000000002</v>
      </c>
      <c r="E317" s="430">
        <f>THIETBI!I353</f>
        <v>89.890909090909091</v>
      </c>
      <c r="F317" s="430">
        <f>DUNGCU!$H$381</f>
        <v>0</v>
      </c>
      <c r="G317" s="429">
        <f>VATLIEU!$F$322</f>
        <v>0</v>
      </c>
      <c r="H317" s="430">
        <f>DIENNANG!$F$238</f>
        <v>0</v>
      </c>
      <c r="I317" s="429">
        <f>SUM(Table10[[#This Row],[1]:[5]])</f>
        <v>3869.2759090909094</v>
      </c>
      <c r="J317" s="429">
        <f>Table10[[#This Row],[6=1+...+5]]*15%</f>
        <v>580.39138636363634</v>
      </c>
      <c r="K317" s="429">
        <f>(Table10[[#This Row],[6=1+...+5]]-Table10[[#This Row],[2]])*15%</f>
        <v>566.90774999999996</v>
      </c>
      <c r="L317" s="429">
        <f>Table10[[#This Row],[6=1+...+5]]+Table10[[#This Row],[7=6*15%]]</f>
        <v>4449.6672954545456</v>
      </c>
      <c r="M317" s="464">
        <f t="shared" si="70"/>
        <v>4346.2927500000005</v>
      </c>
      <c r="N317" s="187" t="s">
        <v>572</v>
      </c>
    </row>
    <row r="318" spans="1:14" ht="15.75" x14ac:dyDescent="0.25">
      <c r="A318" s="79"/>
      <c r="B318" s="37" t="s">
        <v>519</v>
      </c>
      <c r="C318" s="76" t="s">
        <v>569</v>
      </c>
      <c r="D318" s="429">
        <f>NHANCONG!G304</f>
        <v>7558.77</v>
      </c>
      <c r="E318" s="430">
        <f>THIETBI!I354</f>
        <v>179.78181818181818</v>
      </c>
      <c r="F318" s="430">
        <f>DUNGCU!$H$381</f>
        <v>0</v>
      </c>
      <c r="G318" s="429">
        <f>VATLIEU!$F$322</f>
        <v>0</v>
      </c>
      <c r="H318" s="430">
        <f>DIENNANG!$F$238</f>
        <v>0</v>
      </c>
      <c r="I318" s="429">
        <f>SUM(Table10[[#This Row],[1]:[5]])</f>
        <v>7738.5518181818188</v>
      </c>
      <c r="J318" s="429">
        <f>Table10[[#This Row],[6=1+...+5]]*15%</f>
        <v>1160.7827727272727</v>
      </c>
      <c r="K318" s="429">
        <f>(Table10[[#This Row],[6=1+...+5]]-Table10[[#This Row],[2]])*15%</f>
        <v>1133.8154999999999</v>
      </c>
      <c r="L318" s="429">
        <f>Table10[[#This Row],[6=1+...+5]]+Table10[[#This Row],[7=6*15%]]</f>
        <v>8899.3345909090913</v>
      </c>
      <c r="M318" s="464">
        <f t="shared" si="70"/>
        <v>8692.585500000001</v>
      </c>
      <c r="N318" s="187" t="s">
        <v>573</v>
      </c>
    </row>
    <row r="319" spans="1:14" ht="31.5" x14ac:dyDescent="0.25">
      <c r="A319" s="79" t="s">
        <v>167</v>
      </c>
      <c r="B319" s="37" t="s">
        <v>76</v>
      </c>
      <c r="C319" s="5" t="s">
        <v>565</v>
      </c>
      <c r="D319" s="429">
        <f>NHANCONG!G305</f>
        <v>94782.239999999991</v>
      </c>
      <c r="E319" s="473">
        <f>THIETBI!I355</f>
        <v>703.5</v>
      </c>
      <c r="F319" s="429">
        <f>DUNGCU!H382</f>
        <v>2015.1895602564105</v>
      </c>
      <c r="G319" s="429">
        <f>VATLIEU!F323</f>
        <v>1947.8543999999999</v>
      </c>
      <c r="H319" s="429">
        <f>DIENNANG!F239</f>
        <v>7718.4559872</v>
      </c>
      <c r="I319" s="429">
        <f>SUM(Table10[[#This Row],[1]:[5]])</f>
        <v>107167.23994745639</v>
      </c>
      <c r="J319" s="429">
        <f>Table10[[#This Row],[6=1+...+5]]*15%</f>
        <v>16075.085992118456</v>
      </c>
      <c r="K319" s="429">
        <f>(Table10[[#This Row],[6=1+...+5]]-Table10[[#This Row],[2]])*15%</f>
        <v>15969.560992118457</v>
      </c>
      <c r="L319" s="429">
        <f>Table10[[#This Row],[6=1+...+5]]+Table10[[#This Row],[7=6*15%]]</f>
        <v>123242.32593957485</v>
      </c>
      <c r="M319" s="464">
        <f t="shared" si="70"/>
        <v>122433.30093957484</v>
      </c>
      <c r="N319" s="187"/>
    </row>
    <row r="320" spans="1:14" ht="15.75" x14ac:dyDescent="0.25">
      <c r="A320" s="78" t="s">
        <v>173</v>
      </c>
      <c r="B320" s="55" t="s">
        <v>77</v>
      </c>
      <c r="C320" s="5"/>
      <c r="D320" s="467"/>
      <c r="E320" s="467"/>
      <c r="F320" s="467"/>
      <c r="G320" s="462"/>
      <c r="H320" s="467"/>
      <c r="I320" s="467"/>
      <c r="J320" s="467"/>
      <c r="K320" s="467"/>
      <c r="L320" s="467"/>
      <c r="M320" s="468"/>
      <c r="N320" s="275"/>
    </row>
    <row r="321" spans="1:14" ht="15.75" x14ac:dyDescent="0.25">
      <c r="A321" s="78"/>
      <c r="B321" s="203" t="s">
        <v>500</v>
      </c>
      <c r="C321" s="5"/>
      <c r="D321" s="467"/>
      <c r="E321" s="467"/>
      <c r="F321" s="467"/>
      <c r="G321" s="462"/>
      <c r="H321" s="467"/>
      <c r="I321" s="467"/>
      <c r="J321" s="467"/>
      <c r="K321" s="467"/>
      <c r="L321" s="471"/>
      <c r="M321" s="471"/>
      <c r="N321" s="239" t="s">
        <v>502</v>
      </c>
    </row>
    <row r="322" spans="1:14" ht="15.75" x14ac:dyDescent="0.25">
      <c r="A322" s="79" t="s">
        <v>169</v>
      </c>
      <c r="B322" s="37" t="s">
        <v>78</v>
      </c>
      <c r="C322" s="5" t="s">
        <v>565</v>
      </c>
      <c r="D322" s="429">
        <f>NHANCONG!G308</f>
        <v>118902</v>
      </c>
      <c r="E322" s="429">
        <f>THIETBI!I359</f>
        <v>0</v>
      </c>
      <c r="F322" s="429">
        <f>DUNGCU!H394</f>
        <v>0</v>
      </c>
      <c r="G322" s="429">
        <f>VATLIEU!F330</f>
        <v>0</v>
      </c>
      <c r="H322" s="429">
        <f>DIENNANG!F246</f>
        <v>0</v>
      </c>
      <c r="I322" s="429">
        <f>SUM(Table10[[#This Row],[1]:[5]])</f>
        <v>118902</v>
      </c>
      <c r="J322" s="429">
        <f>Table10[[#This Row],[6=1+...+5]]*15%</f>
        <v>17835.3</v>
      </c>
      <c r="K322" s="429">
        <f>(Table10[[#This Row],[6=1+...+5]]-Table10[[#This Row],[2]])*15%</f>
        <v>17835.3</v>
      </c>
      <c r="L322" s="429">
        <f>Table10[[#This Row],[6=1+...+5]]+Table10[[#This Row],[7=6*15%]]</f>
        <v>136737.29999999999</v>
      </c>
      <c r="M322" s="464">
        <f t="shared" ref="M322:M325" si="71">I322-E322+K322</f>
        <v>136737.29999999999</v>
      </c>
      <c r="N322" s="187"/>
    </row>
    <row r="323" spans="1:14" ht="31.5" x14ac:dyDescent="0.25">
      <c r="A323" s="79" t="s">
        <v>170</v>
      </c>
      <c r="B323" s="37" t="s">
        <v>79</v>
      </c>
      <c r="C323" s="5"/>
      <c r="D323" s="429"/>
      <c r="E323" s="429"/>
      <c r="F323" s="429"/>
      <c r="G323" s="429"/>
      <c r="H323" s="429"/>
      <c r="I323" s="429"/>
      <c r="J323" s="429"/>
      <c r="K323" s="429"/>
      <c r="L323" s="429"/>
      <c r="M323" s="464"/>
      <c r="N323" s="187" t="s">
        <v>54</v>
      </c>
    </row>
    <row r="324" spans="1:14" ht="31.5" x14ac:dyDescent="0.25">
      <c r="A324" s="79" t="s">
        <v>171</v>
      </c>
      <c r="B324" s="37" t="s">
        <v>80</v>
      </c>
      <c r="C324" s="5" t="s">
        <v>565</v>
      </c>
      <c r="D324" s="429">
        <f>NHANCONG!G310</f>
        <v>14862.75</v>
      </c>
      <c r="E324" s="429">
        <f>THIETBI!I361</f>
        <v>334.28421818181823</v>
      </c>
      <c r="F324" s="429">
        <f>DUNGCU!H396</f>
        <v>2479.6183782051285</v>
      </c>
      <c r="G324" s="429">
        <f>VATLIEU!F332</f>
        <v>0</v>
      </c>
      <c r="H324" s="429">
        <f>DIENNANG!F248</f>
        <v>4192.31232</v>
      </c>
      <c r="I324" s="429">
        <f>SUM(Table10[[#This Row],[1]:[5]])</f>
        <v>21868.964916386947</v>
      </c>
      <c r="J324" s="429">
        <f>Table10[[#This Row],[6=1+...+5]]*15%</f>
        <v>3280.3447374580419</v>
      </c>
      <c r="K324" s="429">
        <f>(Table10[[#This Row],[6=1+...+5]]-Table10[[#This Row],[2]])*15%</f>
        <v>3230.202104730769</v>
      </c>
      <c r="L324" s="429">
        <f>Table10[[#This Row],[6=1+...+5]]+Table10[[#This Row],[7=6*15%]]</f>
        <v>25149.30965384499</v>
      </c>
      <c r="M324" s="464">
        <f t="shared" si="71"/>
        <v>24764.882802935896</v>
      </c>
      <c r="N324" s="187"/>
    </row>
    <row r="325" spans="1:14" ht="25.5" x14ac:dyDescent="0.25">
      <c r="A325" s="79" t="s">
        <v>172</v>
      </c>
      <c r="B325" s="37" t="s">
        <v>81</v>
      </c>
      <c r="C325" s="5" t="s">
        <v>576</v>
      </c>
      <c r="D325" s="429">
        <f>NHANCONG!G311</f>
        <v>32061.100000000002</v>
      </c>
      <c r="E325" s="429">
        <f>THIETBI!I365</f>
        <v>803.40909090909088</v>
      </c>
      <c r="F325" s="429">
        <f>DUNGCU!H404</f>
        <v>258.68297435897438</v>
      </c>
      <c r="G325" s="429">
        <f>VATLIEU!F333</f>
        <v>39381.800000000003</v>
      </c>
      <c r="H325" s="429">
        <f>DIENNANG!F253</f>
        <v>2079.5402880000001</v>
      </c>
      <c r="I325" s="429">
        <f>SUM(Table10[[#This Row],[1]:[5]])</f>
        <v>74584.532353268078</v>
      </c>
      <c r="J325" s="429">
        <f>Table10[[#This Row],[6=1+...+5]]*15%</f>
        <v>11187.679852990212</v>
      </c>
      <c r="K325" s="429">
        <f>(Table10[[#This Row],[6=1+...+5]]-Table10[[#This Row],[2]])*15%</f>
        <v>11067.168489353848</v>
      </c>
      <c r="L325" s="429">
        <f>Table10[[#This Row],[6=1+...+5]]+Table10[[#This Row],[7=6*15%]]</f>
        <v>85772.212206258293</v>
      </c>
      <c r="M325" s="464">
        <f t="shared" si="71"/>
        <v>84848.291751712837</v>
      </c>
      <c r="N325" s="187" t="s">
        <v>328</v>
      </c>
    </row>
    <row r="326" spans="1:14" ht="15.75" x14ac:dyDescent="0.25">
      <c r="A326" s="79"/>
      <c r="B326" s="203" t="s">
        <v>501</v>
      </c>
      <c r="C326" s="5"/>
      <c r="D326" s="429"/>
      <c r="E326" s="430"/>
      <c r="F326" s="430"/>
      <c r="G326" s="429"/>
      <c r="H326" s="430"/>
      <c r="I326" s="430"/>
      <c r="J326" s="430"/>
      <c r="K326" s="430"/>
      <c r="L326" s="471"/>
      <c r="M326" s="471"/>
      <c r="N326" s="239">
        <v>0.86</v>
      </c>
    </row>
    <row r="327" spans="1:14" ht="15.75" x14ac:dyDescent="0.25">
      <c r="A327" s="79" t="s">
        <v>169</v>
      </c>
      <c r="B327" s="37" t="s">
        <v>78</v>
      </c>
      <c r="C327" s="5" t="s">
        <v>565</v>
      </c>
      <c r="D327" s="429">
        <f>NHANCONG!G313</f>
        <v>102255.72</v>
      </c>
      <c r="E327" s="429">
        <f>THIETBI!I367</f>
        <v>0</v>
      </c>
      <c r="F327" s="429">
        <f>DUNGCU!H406</f>
        <v>0</v>
      </c>
      <c r="G327" s="429">
        <f>VATLIEU!F335</f>
        <v>0</v>
      </c>
      <c r="H327" s="430">
        <f>H322</f>
        <v>0</v>
      </c>
      <c r="I327" s="429">
        <f>SUM(Table10[[#This Row],[1]:[5]])</f>
        <v>102255.72</v>
      </c>
      <c r="J327" s="429">
        <f>Table10[[#This Row],[6=1+...+5]]*15%</f>
        <v>15338.358</v>
      </c>
      <c r="K327" s="429">
        <f>(Table10[[#This Row],[6=1+...+5]]-Table10[[#This Row],[2]])*15%</f>
        <v>15338.358</v>
      </c>
      <c r="L327" s="429">
        <f>Table10[[#This Row],[6=1+...+5]]+Table10[[#This Row],[7=6*15%]]</f>
        <v>117594.07800000001</v>
      </c>
      <c r="M327" s="464">
        <f t="shared" ref="M327:M330" si="72">I327-E327+K327</f>
        <v>117594.07800000001</v>
      </c>
      <c r="N327" s="187"/>
    </row>
    <row r="328" spans="1:14" ht="31.5" x14ac:dyDescent="0.25">
      <c r="A328" s="79" t="s">
        <v>170</v>
      </c>
      <c r="B328" s="37" t="s">
        <v>79</v>
      </c>
      <c r="C328" s="5"/>
      <c r="D328" s="429"/>
      <c r="E328" s="429"/>
      <c r="F328" s="429"/>
      <c r="G328" s="429"/>
      <c r="H328" s="430"/>
      <c r="I328" s="429"/>
      <c r="J328" s="429"/>
      <c r="K328" s="429"/>
      <c r="L328" s="429"/>
      <c r="M328" s="464"/>
      <c r="N328" s="187" t="s">
        <v>54</v>
      </c>
    </row>
    <row r="329" spans="1:14" ht="31.5" x14ac:dyDescent="0.25">
      <c r="A329" s="79" t="s">
        <v>171</v>
      </c>
      <c r="B329" s="37" t="s">
        <v>80</v>
      </c>
      <c r="C329" s="5" t="s">
        <v>565</v>
      </c>
      <c r="D329" s="429">
        <f>NHANCONG!G315</f>
        <v>12781.965</v>
      </c>
      <c r="E329" s="429">
        <f>THIETBI!I369</f>
        <v>287.48442763636365</v>
      </c>
      <c r="F329" s="429">
        <f>DUNGCU!H408</f>
        <v>2132.4718052564103</v>
      </c>
      <c r="G329" s="429">
        <f>VATLIEU!F337</f>
        <v>0</v>
      </c>
      <c r="H329" s="430">
        <f t="shared" ref="H329:H330" si="73">H324</f>
        <v>4192.31232</v>
      </c>
      <c r="I329" s="429">
        <f>SUM(Table10[[#This Row],[1]:[5]])</f>
        <v>19394.233552892776</v>
      </c>
      <c r="J329" s="429">
        <f>Table10[[#This Row],[6=1+...+5]]*15%</f>
        <v>2909.1350329339161</v>
      </c>
      <c r="K329" s="429">
        <f>(Table10[[#This Row],[6=1+...+5]]-Table10[[#This Row],[2]])*15%</f>
        <v>2866.012368788462</v>
      </c>
      <c r="L329" s="429">
        <f>Table10[[#This Row],[6=1+...+5]]+Table10[[#This Row],[7=6*15%]]</f>
        <v>22303.368585826691</v>
      </c>
      <c r="M329" s="464">
        <f t="shared" si="72"/>
        <v>21972.761494044877</v>
      </c>
      <c r="N329" s="187"/>
    </row>
    <row r="330" spans="1:14" ht="25.5" x14ac:dyDescent="0.25">
      <c r="A330" s="79" t="s">
        <v>172</v>
      </c>
      <c r="B330" s="37" t="s">
        <v>81</v>
      </c>
      <c r="C330" s="5" t="s">
        <v>576</v>
      </c>
      <c r="D330" s="429">
        <f>NHANCONG!G316</f>
        <v>32061.100000000002</v>
      </c>
      <c r="E330" s="429">
        <f>THIETBI!I370</f>
        <v>803.40909090909088</v>
      </c>
      <c r="F330" s="429">
        <f>DUNGCU!H409</f>
        <v>258.68297435897438</v>
      </c>
      <c r="G330" s="429">
        <f>VATLIEU!F338</f>
        <v>39381.800000000003</v>
      </c>
      <c r="H330" s="430">
        <f t="shared" si="73"/>
        <v>2079.5402880000001</v>
      </c>
      <c r="I330" s="429">
        <f>SUM(Table10[[#This Row],[1]:[5]])</f>
        <v>74584.532353268078</v>
      </c>
      <c r="J330" s="429">
        <f>Table10[[#This Row],[6=1+...+5]]*15%</f>
        <v>11187.679852990212</v>
      </c>
      <c r="K330" s="429">
        <f>(Table10[[#This Row],[6=1+...+5]]-Table10[[#This Row],[2]])*15%</f>
        <v>11067.168489353848</v>
      </c>
      <c r="L330" s="429">
        <f>Table10[[#This Row],[6=1+...+5]]+Table10[[#This Row],[7=6*15%]]</f>
        <v>85772.212206258293</v>
      </c>
      <c r="M330" s="464">
        <f t="shared" si="72"/>
        <v>84848.291751712837</v>
      </c>
      <c r="N330" s="187" t="s">
        <v>328</v>
      </c>
    </row>
    <row r="331" spans="1:14" ht="15.75" x14ac:dyDescent="0.25">
      <c r="A331" s="78" t="s">
        <v>82</v>
      </c>
      <c r="B331" s="55" t="s">
        <v>84</v>
      </c>
      <c r="C331" s="5"/>
      <c r="D331" s="467"/>
      <c r="E331" s="467"/>
      <c r="F331" s="467"/>
      <c r="G331" s="462"/>
      <c r="H331" s="467"/>
      <c r="I331" s="467"/>
      <c r="J331" s="467"/>
      <c r="K331" s="467"/>
      <c r="L331" s="467"/>
      <c r="M331" s="468"/>
      <c r="N331" s="275"/>
    </row>
    <row r="332" spans="1:14" ht="15.75" x14ac:dyDescent="0.25">
      <c r="A332" s="78" t="s">
        <v>174</v>
      </c>
      <c r="B332" s="55" t="s">
        <v>93</v>
      </c>
      <c r="C332" s="5"/>
      <c r="D332" s="467"/>
      <c r="E332" s="467"/>
      <c r="F332" s="467"/>
      <c r="G332" s="462"/>
      <c r="H332" s="467"/>
      <c r="I332" s="467"/>
      <c r="J332" s="467"/>
      <c r="K332" s="467"/>
      <c r="L332" s="467"/>
      <c r="M332" s="468"/>
      <c r="N332" s="275"/>
    </row>
    <row r="333" spans="1:14" ht="15.75" x14ac:dyDescent="0.25">
      <c r="A333" s="79" t="s">
        <v>175</v>
      </c>
      <c r="B333" s="37" t="s">
        <v>85</v>
      </c>
      <c r="C333" s="5" t="s">
        <v>577</v>
      </c>
      <c r="D333" s="429">
        <f>NHANCONG!G319</f>
        <v>1619.336</v>
      </c>
      <c r="E333" s="429">
        <f>THIETBI!I373</f>
        <v>0</v>
      </c>
      <c r="F333" s="429">
        <f>DUNGCU!H412</f>
        <v>0</v>
      </c>
      <c r="G333" s="429">
        <f>VATLIEU!F341</f>
        <v>0</v>
      </c>
      <c r="H333" s="429">
        <f>DIENNANG!F256</f>
        <v>0</v>
      </c>
      <c r="I333" s="429">
        <f>SUM(Table10[[#This Row],[1]:[5]])</f>
        <v>1619.336</v>
      </c>
      <c r="J333" s="429">
        <f>Table10[[#This Row],[6=1+...+5]]*15%</f>
        <v>242.90039999999999</v>
      </c>
      <c r="K333" s="429">
        <f>(Table10[[#This Row],[6=1+...+5]]-Table10[[#This Row],[2]])*15%</f>
        <v>242.90039999999999</v>
      </c>
      <c r="L333" s="429">
        <f>Table10[[#This Row],[6=1+...+5]]+Table10[[#This Row],[7=6*15%]]</f>
        <v>1862.2364</v>
      </c>
      <c r="M333" s="464">
        <f t="shared" ref="M333" si="74">I333-E333+K333</f>
        <v>1862.2364</v>
      </c>
      <c r="N333" s="187"/>
    </row>
    <row r="334" spans="1:14" ht="15.75" x14ac:dyDescent="0.25">
      <c r="A334" s="79" t="s">
        <v>176</v>
      </c>
      <c r="B334" s="37" t="s">
        <v>86</v>
      </c>
      <c r="C334" s="5"/>
      <c r="D334" s="430"/>
      <c r="E334" s="429"/>
      <c r="F334" s="429"/>
      <c r="G334" s="429"/>
      <c r="H334" s="429"/>
      <c r="I334" s="430"/>
      <c r="J334" s="430"/>
      <c r="K334" s="430"/>
      <c r="L334" s="430"/>
      <c r="M334" s="472"/>
      <c r="N334" s="187"/>
    </row>
    <row r="335" spans="1:14" ht="15.75" x14ac:dyDescent="0.25">
      <c r="A335" s="77" t="s">
        <v>558</v>
      </c>
      <c r="B335" s="309" t="s">
        <v>90</v>
      </c>
      <c r="C335" s="5" t="s">
        <v>578</v>
      </c>
      <c r="D335" s="429">
        <f>NHANCONG!G321</f>
        <v>9311.1820000000007</v>
      </c>
      <c r="E335" s="429">
        <f>THIETBI!I375</f>
        <v>57.61363636363636</v>
      </c>
      <c r="F335" s="429">
        <f>DUNGCU!H414</f>
        <v>114.50320192307693</v>
      </c>
      <c r="G335" s="429">
        <f>VATLIEU!F343</f>
        <v>0</v>
      </c>
      <c r="H335" s="429">
        <f>DIENNANG!F258</f>
        <v>471.31560000000002</v>
      </c>
      <c r="I335" s="429">
        <f>SUM(Table10[[#This Row],[1]:[5]])</f>
        <v>9954.6144382867133</v>
      </c>
      <c r="J335" s="429">
        <f>Table10[[#This Row],[6=1+...+5]]*15%</f>
        <v>1493.1921657430069</v>
      </c>
      <c r="K335" s="429">
        <f>(Table10[[#This Row],[6=1+...+5]]-Table10[[#This Row],[2]])*15%</f>
        <v>1484.5501202884616</v>
      </c>
      <c r="L335" s="429">
        <f>Table10[[#This Row],[6=1+...+5]]+Table10[[#This Row],[7=6*15%]]</f>
        <v>11447.80660402972</v>
      </c>
      <c r="M335" s="464">
        <f t="shared" ref="M335:M338" si="75">I335-E335+K335</f>
        <v>11381.55092221154</v>
      </c>
      <c r="N335" s="187"/>
    </row>
    <row r="336" spans="1:14" ht="15.75" x14ac:dyDescent="0.25">
      <c r="A336" s="77" t="s">
        <v>559</v>
      </c>
      <c r="B336" s="309" t="s">
        <v>91</v>
      </c>
      <c r="C336" s="5" t="s">
        <v>412</v>
      </c>
      <c r="D336" s="429">
        <f>NHANCONG!G322</f>
        <v>3603.0225999999998</v>
      </c>
      <c r="E336" s="429">
        <f>THIETBI!I378</f>
        <v>53.86363636363636</v>
      </c>
      <c r="F336" s="429">
        <f>DUNGCU!H421</f>
        <v>103.82320512820515</v>
      </c>
      <c r="G336" s="429">
        <f>VATLIEU!F344</f>
        <v>0</v>
      </c>
      <c r="H336" s="429">
        <f>DIENNANG!F265</f>
        <v>430.09545600000001</v>
      </c>
      <c r="I336" s="429">
        <f>SUM(Table10[[#This Row],[1]:[5]])</f>
        <v>4190.804897491842</v>
      </c>
      <c r="J336" s="429">
        <f>Table10[[#This Row],[6=1+...+5]]*15%</f>
        <v>628.62073462377623</v>
      </c>
      <c r="K336" s="429">
        <f>(Table10[[#This Row],[6=1+...+5]]-Table10[[#This Row],[2]])*15%</f>
        <v>620.54118916923085</v>
      </c>
      <c r="L336" s="429">
        <f>Table10[[#This Row],[6=1+...+5]]+Table10[[#This Row],[7=6*15%]]</f>
        <v>4819.4256321156181</v>
      </c>
      <c r="M336" s="464">
        <f t="shared" si="75"/>
        <v>4757.482450297437</v>
      </c>
      <c r="N336" s="187"/>
    </row>
    <row r="337" spans="1:14" ht="15.75" x14ac:dyDescent="0.25">
      <c r="A337" s="77" t="s">
        <v>560</v>
      </c>
      <c r="B337" s="309" t="s">
        <v>92</v>
      </c>
      <c r="C337" s="5" t="s">
        <v>411</v>
      </c>
      <c r="D337" s="429">
        <f>NHANCONG!G323</f>
        <v>26.314209999999999</v>
      </c>
      <c r="E337" s="429">
        <f>THIETBI!I381</f>
        <v>0.18204545454545454</v>
      </c>
      <c r="F337" s="429">
        <f>DUNGCU!H428</f>
        <v>0.27403407692307696</v>
      </c>
      <c r="G337" s="429">
        <f>VATLIEU!F345</f>
        <v>0</v>
      </c>
      <c r="H337" s="429">
        <f>DIENNANG!F272</f>
        <v>1.3791402000000001</v>
      </c>
      <c r="I337" s="429">
        <f>SUM(Table10[[#This Row],[1]:[5]])</f>
        <v>28.14942973146853</v>
      </c>
      <c r="J337" s="429">
        <f>Table10[[#This Row],[6=1+...+5]]*15%</f>
        <v>4.2224144597202793</v>
      </c>
      <c r="K337" s="429">
        <f>(Table10[[#This Row],[6=1+...+5]]-Table10[[#This Row],[2]])*15%</f>
        <v>4.1951076415384607</v>
      </c>
      <c r="L337" s="429">
        <f>Table10[[#This Row],[6=1+...+5]]+Table10[[#This Row],[7=6*15%]]</f>
        <v>32.371844191188806</v>
      </c>
      <c r="M337" s="464">
        <f t="shared" si="75"/>
        <v>32.162491918461534</v>
      </c>
      <c r="N337" s="187"/>
    </row>
    <row r="338" spans="1:14" ht="15.75" x14ac:dyDescent="0.25">
      <c r="A338" s="79" t="s">
        <v>180</v>
      </c>
      <c r="B338" s="37" t="s">
        <v>87</v>
      </c>
      <c r="C338" s="5" t="s">
        <v>577</v>
      </c>
      <c r="D338" s="429">
        <f>NHANCONG!G324</f>
        <v>1497.8858</v>
      </c>
      <c r="E338" s="429">
        <f>THIETBI!I384</f>
        <v>0</v>
      </c>
      <c r="F338" s="429">
        <f>DUNGCU!H434</f>
        <v>0</v>
      </c>
      <c r="G338" s="429">
        <f>VATLIEU!F346</f>
        <v>0</v>
      </c>
      <c r="H338" s="429">
        <f>VLOOKUP(Table10[[#This Row],[A]],DIENNANG[[TT]:[Điện năng]],6,0)</f>
        <v>0</v>
      </c>
      <c r="I338" s="429">
        <f>SUM(Table10[[#This Row],[1]:[5]])</f>
        <v>1497.8858</v>
      </c>
      <c r="J338" s="429">
        <f>Table10[[#This Row],[6=1+...+5]]*15%</f>
        <v>224.68287000000001</v>
      </c>
      <c r="K338" s="429">
        <f>(Table10[[#This Row],[6=1+...+5]]-Table10[[#This Row],[2]])*15%</f>
        <v>224.68287000000001</v>
      </c>
      <c r="L338" s="429">
        <f>Table10[[#This Row],[6=1+...+5]]+Table10[[#This Row],[7=6*15%]]</f>
        <v>1722.5686700000001</v>
      </c>
      <c r="M338" s="464">
        <f t="shared" si="75"/>
        <v>1722.5686700000001</v>
      </c>
      <c r="N338" s="187"/>
    </row>
    <row r="339" spans="1:14" ht="15.75" x14ac:dyDescent="0.25">
      <c r="A339" s="79" t="s">
        <v>181</v>
      </c>
      <c r="B339" s="37" t="s">
        <v>88</v>
      </c>
      <c r="C339" s="5"/>
      <c r="D339" s="429"/>
      <c r="E339" s="429"/>
      <c r="F339" s="429"/>
      <c r="G339" s="429"/>
      <c r="H339" s="429"/>
      <c r="I339" s="429"/>
      <c r="J339" s="429"/>
      <c r="K339" s="429"/>
      <c r="L339" s="429"/>
      <c r="M339" s="464"/>
      <c r="N339" s="187" t="s">
        <v>54</v>
      </c>
    </row>
    <row r="340" spans="1:14" ht="26.25" x14ac:dyDescent="0.25">
      <c r="A340" s="78" t="s">
        <v>177</v>
      </c>
      <c r="B340" s="55" t="s">
        <v>94</v>
      </c>
      <c r="C340" s="5"/>
      <c r="D340" s="474"/>
      <c r="E340" s="474"/>
      <c r="F340" s="429"/>
      <c r="G340" s="475"/>
      <c r="H340" s="474"/>
      <c r="I340" s="474"/>
      <c r="J340" s="474"/>
      <c r="K340" s="474"/>
      <c r="L340" s="474"/>
      <c r="M340" s="476"/>
      <c r="N340" s="345" t="s">
        <v>579</v>
      </c>
    </row>
    <row r="341" spans="1:14" ht="15.75" x14ac:dyDescent="0.25">
      <c r="A341" s="79" t="s">
        <v>178</v>
      </c>
      <c r="B341" s="37" t="s">
        <v>85</v>
      </c>
      <c r="C341" s="5" t="s">
        <v>577</v>
      </c>
      <c r="D341" s="429">
        <f>NHANCONG!G327</f>
        <v>1327.8555199999998</v>
      </c>
      <c r="E341" s="429">
        <f>THIETBI!I387</f>
        <v>0</v>
      </c>
      <c r="F341" s="429">
        <f>DUNGCU!H437</f>
        <v>0</v>
      </c>
      <c r="G341" s="429">
        <f>VATLIEU!F349</f>
        <v>0</v>
      </c>
      <c r="H341" s="429">
        <f>DIENNANG!F282</f>
        <v>0</v>
      </c>
      <c r="I341" s="429">
        <f>SUM(Table10[[#This Row],[1]:[5]])</f>
        <v>1327.8555199999998</v>
      </c>
      <c r="J341" s="429">
        <f>Table10[[#This Row],[6=1+...+5]]*15%</f>
        <v>199.17832799999996</v>
      </c>
      <c r="K341" s="429">
        <f>(Table10[[#This Row],[6=1+...+5]]-Table10[[#This Row],[2]])*15%</f>
        <v>199.17832799999996</v>
      </c>
      <c r="L341" s="429">
        <f>Table10[[#This Row],[6=1+...+5]]+Table10[[#This Row],[7=6*15%]]</f>
        <v>1527.0338479999998</v>
      </c>
      <c r="M341" s="464">
        <f t="shared" ref="M341" si="76">I341-E341+K341</f>
        <v>1527.0338479999998</v>
      </c>
      <c r="N341" s="187"/>
    </row>
    <row r="342" spans="1:14" ht="15.75" x14ac:dyDescent="0.25">
      <c r="A342" s="79" t="s">
        <v>179</v>
      </c>
      <c r="B342" s="37" t="s">
        <v>86</v>
      </c>
      <c r="C342" s="5"/>
      <c r="D342" s="430"/>
      <c r="E342" s="429"/>
      <c r="F342" s="429"/>
      <c r="G342" s="429"/>
      <c r="H342" s="429"/>
      <c r="I342" s="430"/>
      <c r="J342" s="430"/>
      <c r="K342" s="430"/>
      <c r="L342" s="430"/>
      <c r="M342" s="472"/>
      <c r="N342" s="187"/>
    </row>
    <row r="343" spans="1:14" ht="15.75" x14ac:dyDescent="0.25">
      <c r="A343" s="77" t="s">
        <v>552</v>
      </c>
      <c r="B343" s="309" t="s">
        <v>90</v>
      </c>
      <c r="C343" s="5" t="s">
        <v>578</v>
      </c>
      <c r="D343" s="429">
        <f>NHANCONG!G329</f>
        <v>7635.1692400000002</v>
      </c>
      <c r="E343" s="429">
        <f>THIETBI!I389</f>
        <v>47.24318181818181</v>
      </c>
      <c r="F343" s="429">
        <f>DUNGCU!H439</f>
        <v>93.892625576923081</v>
      </c>
      <c r="G343" s="429">
        <f>VATLIEU!F351</f>
        <v>0</v>
      </c>
      <c r="H343" s="429">
        <f>DIENNANG!F284</f>
        <v>386.478792</v>
      </c>
      <c r="I343" s="429">
        <f>SUM(Table10[[#This Row],[1]:[5]])</f>
        <v>8162.7838393951051</v>
      </c>
      <c r="J343" s="429">
        <f>Table10[[#This Row],[6=1+...+5]]*15%</f>
        <v>1224.4175759092657</v>
      </c>
      <c r="K343" s="429">
        <f>(Table10[[#This Row],[6=1+...+5]]-Table10[[#This Row],[2]])*15%</f>
        <v>1217.3310986365384</v>
      </c>
      <c r="L343" s="429">
        <f>Table10[[#This Row],[6=1+...+5]]+Table10[[#This Row],[7=6*15%]]</f>
        <v>9387.201415304371</v>
      </c>
      <c r="M343" s="464">
        <f t="shared" ref="M343:M346" si="77">I343-E343+K343</f>
        <v>9332.8717562134607</v>
      </c>
      <c r="N343" s="187"/>
    </row>
    <row r="344" spans="1:14" ht="15.75" x14ac:dyDescent="0.25">
      <c r="A344" s="77" t="s">
        <v>553</v>
      </c>
      <c r="B344" s="309" t="s">
        <v>91</v>
      </c>
      <c r="C344" s="5" t="s">
        <v>412</v>
      </c>
      <c r="D344" s="429">
        <f>NHANCONG!G330</f>
        <v>2954.4785319999996</v>
      </c>
      <c r="E344" s="429">
        <f>THIETBI!I390</f>
        <v>44.168181818181814</v>
      </c>
      <c r="F344" s="429">
        <f>DUNGCU!H440</f>
        <v>85.135028205128208</v>
      </c>
      <c r="G344" s="429">
        <f>VATLIEU!F352</f>
        <v>0</v>
      </c>
      <c r="H344" s="429">
        <f>DIENNANG!F285</f>
        <v>352.67827391999998</v>
      </c>
      <c r="I344" s="429">
        <f>SUM(Table10[[#This Row],[1]:[5]])</f>
        <v>3436.4600159433094</v>
      </c>
      <c r="J344" s="429">
        <f>Table10[[#This Row],[6=1+...+5]]*15%</f>
        <v>515.46900239149636</v>
      </c>
      <c r="K344" s="429">
        <f>(Table10[[#This Row],[6=1+...+5]]-Table10[[#This Row],[2]])*15%</f>
        <v>508.84377511876909</v>
      </c>
      <c r="L344" s="429">
        <f>Table10[[#This Row],[6=1+...+5]]+Table10[[#This Row],[7=6*15%]]</f>
        <v>3951.9290183348057</v>
      </c>
      <c r="M344" s="464">
        <f t="shared" si="77"/>
        <v>3901.1356092438964</v>
      </c>
      <c r="N344" s="187"/>
    </row>
    <row r="345" spans="1:14" ht="15.75" x14ac:dyDescent="0.25">
      <c r="A345" s="77" t="s">
        <v>554</v>
      </c>
      <c r="B345" s="309" t="s">
        <v>92</v>
      </c>
      <c r="C345" s="5" t="s">
        <v>411</v>
      </c>
      <c r="D345" s="429">
        <f>NHANCONG!G331</f>
        <v>21.577652199999999</v>
      </c>
      <c r="E345" s="429">
        <f>THIETBI!I391</f>
        <v>0.1492772727272727</v>
      </c>
      <c r="F345" s="429">
        <f>DUNGCU!H441</f>
        <v>0.2247079430769231</v>
      </c>
      <c r="G345" s="429">
        <f>VATLIEU!F353</f>
        <v>0</v>
      </c>
      <c r="H345" s="429">
        <f>DIENNANG!F286</f>
        <v>1.1308949640000001</v>
      </c>
      <c r="I345" s="429">
        <f>SUM(Table10[[#This Row],[1]:[5]])</f>
        <v>23.082532379804192</v>
      </c>
      <c r="J345" s="429">
        <f>Table10[[#This Row],[6=1+...+5]]*15%</f>
        <v>3.4623798569706286</v>
      </c>
      <c r="K345" s="429">
        <f>(Table10[[#This Row],[6=1+...+5]]-Table10[[#This Row],[2]])*15%</f>
        <v>3.4399882660615382</v>
      </c>
      <c r="L345" s="429">
        <f>Table10[[#This Row],[6=1+...+5]]+Table10[[#This Row],[7=6*15%]]</f>
        <v>26.54491223677482</v>
      </c>
      <c r="M345" s="464">
        <f t="shared" si="77"/>
        <v>26.373243373138457</v>
      </c>
      <c r="N345" s="187"/>
    </row>
    <row r="346" spans="1:14" ht="15.75" x14ac:dyDescent="0.25">
      <c r="A346" s="79" t="s">
        <v>182</v>
      </c>
      <c r="B346" s="37" t="s">
        <v>87</v>
      </c>
      <c r="C346" s="5" t="s">
        <v>577</v>
      </c>
      <c r="D346" s="429">
        <f>NHANCONG!G332</f>
        <v>1228.2663559999999</v>
      </c>
      <c r="E346" s="429">
        <f>THIETBI!I392</f>
        <v>0</v>
      </c>
      <c r="F346" s="429">
        <f>DUNGCU!H442</f>
        <v>0</v>
      </c>
      <c r="G346" s="429">
        <f>VATLIEU!F354</f>
        <v>0</v>
      </c>
      <c r="H346" s="429">
        <f>DIENNANG!F287</f>
        <v>0</v>
      </c>
      <c r="I346" s="429">
        <f>SUM(Table10[[#This Row],[1]:[5]])</f>
        <v>1228.2663559999999</v>
      </c>
      <c r="J346" s="429">
        <f>Table10[[#This Row],[6=1+...+5]]*15%</f>
        <v>184.23995339999996</v>
      </c>
      <c r="K346" s="429">
        <f>(Table10[[#This Row],[6=1+...+5]]-Table10[[#This Row],[2]])*15%</f>
        <v>184.23995339999996</v>
      </c>
      <c r="L346" s="429">
        <f>Table10[[#This Row],[6=1+...+5]]+Table10[[#This Row],[7=6*15%]]</f>
        <v>1412.5063093999997</v>
      </c>
      <c r="M346" s="464">
        <f t="shared" si="77"/>
        <v>1412.5063093999997</v>
      </c>
      <c r="N346" s="187"/>
    </row>
    <row r="347" spans="1:14" ht="15.75" x14ac:dyDescent="0.25">
      <c r="A347" s="79" t="s">
        <v>183</v>
      </c>
      <c r="B347" s="37" t="s">
        <v>88</v>
      </c>
      <c r="C347" s="5"/>
      <c r="D347" s="429"/>
      <c r="E347" s="429"/>
      <c r="F347" s="429"/>
      <c r="G347" s="429"/>
      <c r="H347" s="429"/>
      <c r="I347" s="429"/>
      <c r="J347" s="429"/>
      <c r="K347" s="429"/>
      <c r="L347" s="429"/>
      <c r="M347" s="464"/>
      <c r="N347" s="187" t="s">
        <v>54</v>
      </c>
    </row>
    <row r="348" spans="1:14" ht="31.5" x14ac:dyDescent="0.25">
      <c r="A348" s="146" t="s">
        <v>184</v>
      </c>
      <c r="B348" s="55" t="s">
        <v>95</v>
      </c>
      <c r="C348" s="5"/>
      <c r="D348" s="474"/>
      <c r="E348" s="474"/>
      <c r="F348" s="474"/>
      <c r="G348" s="475"/>
      <c r="H348" s="474"/>
      <c r="I348" s="474"/>
      <c r="J348" s="474"/>
      <c r="K348" s="474"/>
      <c r="L348" s="474"/>
      <c r="M348" s="476"/>
      <c r="N348" s="345" t="s">
        <v>580</v>
      </c>
    </row>
    <row r="349" spans="1:14" ht="15.75" x14ac:dyDescent="0.25">
      <c r="A349" s="79" t="s">
        <v>185</v>
      </c>
      <c r="B349" s="37" t="s">
        <v>85</v>
      </c>
      <c r="C349" s="5" t="s">
        <v>577</v>
      </c>
      <c r="D349" s="429">
        <f>NHANCONG!G335</f>
        <v>1700.3028000000002</v>
      </c>
      <c r="E349" s="429">
        <f>THIETBI!I395</f>
        <v>0</v>
      </c>
      <c r="F349" s="429">
        <f>DUNGCU!H445</f>
        <v>0</v>
      </c>
      <c r="G349" s="429">
        <f>VATLIEU!F357</f>
        <v>0</v>
      </c>
      <c r="H349" s="429">
        <f>DIENNANG!F290</f>
        <v>0</v>
      </c>
      <c r="I349" s="429">
        <f>SUM(Table10[[#This Row],[1]:[5]])</f>
        <v>1700.3028000000002</v>
      </c>
      <c r="J349" s="429">
        <f>Table10[[#This Row],[6=1+...+5]]*15%</f>
        <v>255.04542000000001</v>
      </c>
      <c r="K349" s="429">
        <f>(Table10[[#This Row],[6=1+...+5]]-Table10[[#This Row],[2]])*15%</f>
        <v>255.04542000000001</v>
      </c>
      <c r="L349" s="429">
        <f>Table10[[#This Row],[6=1+...+5]]+Table10[[#This Row],[7=6*15%]]</f>
        <v>1955.3482200000001</v>
      </c>
      <c r="M349" s="464">
        <f t="shared" ref="M349" si="78">I349-E349+K349</f>
        <v>1955.3482200000001</v>
      </c>
      <c r="N349" s="187"/>
    </row>
    <row r="350" spans="1:14" ht="15.75" x14ac:dyDescent="0.25">
      <c r="A350" s="79" t="s">
        <v>186</v>
      </c>
      <c r="B350" s="37" t="s">
        <v>86</v>
      </c>
      <c r="C350" s="5"/>
      <c r="D350" s="430"/>
      <c r="E350" s="429"/>
      <c r="F350" s="429"/>
      <c r="G350" s="429"/>
      <c r="H350" s="429"/>
      <c r="I350" s="430"/>
      <c r="J350" s="430"/>
      <c r="K350" s="430"/>
      <c r="L350" s="430"/>
      <c r="M350" s="472"/>
      <c r="N350" s="187"/>
    </row>
    <row r="351" spans="1:14" ht="15.75" x14ac:dyDescent="0.25">
      <c r="A351" s="77" t="s">
        <v>555</v>
      </c>
      <c r="B351" s="309" t="s">
        <v>90</v>
      </c>
      <c r="C351" s="5" t="s">
        <v>578</v>
      </c>
      <c r="D351" s="429">
        <f>NHANCONG!G337</f>
        <v>9776.7411000000011</v>
      </c>
      <c r="E351" s="429">
        <f>THIETBI!I397</f>
        <v>60.49431818181818</v>
      </c>
      <c r="F351" s="429">
        <f>DUNGCU!H447</f>
        <v>120.22836201923079</v>
      </c>
      <c r="G351" s="429">
        <f>VATLIEU!F359</f>
        <v>0</v>
      </c>
      <c r="H351" s="429">
        <f>DIENNANG!F292</f>
        <v>494.88138000000004</v>
      </c>
      <c r="I351" s="429">
        <f>SUM(Table10[[#This Row],[1]:[5]])</f>
        <v>10452.34516020105</v>
      </c>
      <c r="J351" s="429">
        <f>Table10[[#This Row],[6=1+...+5]]*15%</f>
        <v>1567.8517740301575</v>
      </c>
      <c r="K351" s="429">
        <f>(Table10[[#This Row],[6=1+...+5]]-Table10[[#This Row],[2]])*15%</f>
        <v>1558.7776263028848</v>
      </c>
      <c r="L351" s="429">
        <f>Table10[[#This Row],[6=1+...+5]]+Table10[[#This Row],[7=6*15%]]</f>
        <v>12020.196934231208</v>
      </c>
      <c r="M351" s="464">
        <f t="shared" ref="M351:M354" si="79">I351-E351+K351</f>
        <v>11950.628468322117</v>
      </c>
      <c r="N351" s="187"/>
    </row>
    <row r="352" spans="1:14" ht="15.75" x14ac:dyDescent="0.25">
      <c r="A352" s="77" t="s">
        <v>556</v>
      </c>
      <c r="B352" s="309" t="s">
        <v>91</v>
      </c>
      <c r="C352" s="5" t="s">
        <v>412</v>
      </c>
      <c r="D352" s="429">
        <f>NHANCONG!G338</f>
        <v>3783.17373</v>
      </c>
      <c r="E352" s="429">
        <f>THIETBI!I398</f>
        <v>56.55681818181818</v>
      </c>
      <c r="F352" s="429">
        <f>DUNGCU!H448</f>
        <v>109.0143653846154</v>
      </c>
      <c r="G352" s="429">
        <f>VATLIEU!F360</f>
        <v>0</v>
      </c>
      <c r="H352" s="429">
        <f>DIENNANG!F293</f>
        <v>451.60022880000002</v>
      </c>
      <c r="I352" s="429">
        <f>SUM(Table10[[#This Row],[1]:[5]])</f>
        <v>4400.3451423664337</v>
      </c>
      <c r="J352" s="429">
        <f>Table10[[#This Row],[6=1+...+5]]*15%</f>
        <v>660.05177135496501</v>
      </c>
      <c r="K352" s="429">
        <f>(Table10[[#This Row],[6=1+...+5]]-Table10[[#This Row],[2]])*15%</f>
        <v>651.56824862769236</v>
      </c>
      <c r="L352" s="429">
        <f>Table10[[#This Row],[6=1+...+5]]+Table10[[#This Row],[7=6*15%]]</f>
        <v>5060.396913721399</v>
      </c>
      <c r="M352" s="464">
        <f t="shared" si="79"/>
        <v>4995.3565728123085</v>
      </c>
      <c r="N352" s="187"/>
    </row>
    <row r="353" spans="1:14" ht="15.75" x14ac:dyDescent="0.25">
      <c r="A353" s="77" t="s">
        <v>557</v>
      </c>
      <c r="B353" s="309" t="s">
        <v>92</v>
      </c>
      <c r="C353" s="5" t="s">
        <v>411</v>
      </c>
      <c r="D353" s="429">
        <f>NHANCONG!G339</f>
        <v>27.629920500000001</v>
      </c>
      <c r="E353" s="429">
        <f>THIETBI!I399</f>
        <v>0.19114772727272727</v>
      </c>
      <c r="F353" s="429">
        <f>DUNGCU!H449</f>
        <v>0.28773578076923084</v>
      </c>
      <c r="G353" s="429">
        <f>VATLIEU!F361</f>
        <v>0</v>
      </c>
      <c r="H353" s="429">
        <f>DIENNANG!F294</f>
        <v>1.4480972100000002</v>
      </c>
      <c r="I353" s="429">
        <f>SUM(Table10[[#This Row],[1]:[5]])</f>
        <v>29.556901218041961</v>
      </c>
      <c r="J353" s="429">
        <f>Table10[[#This Row],[6=1+...+5]]*15%</f>
        <v>4.4335351827062937</v>
      </c>
      <c r="K353" s="429">
        <f>(Table10[[#This Row],[6=1+...+5]]-Table10[[#This Row],[2]])*15%</f>
        <v>4.404863023615385</v>
      </c>
      <c r="L353" s="429">
        <f>Table10[[#This Row],[6=1+...+5]]+Table10[[#This Row],[7=6*15%]]</f>
        <v>33.990436400748251</v>
      </c>
      <c r="M353" s="464">
        <f t="shared" si="79"/>
        <v>33.770616514384621</v>
      </c>
      <c r="N353" s="187"/>
    </row>
    <row r="354" spans="1:14" ht="15.75" x14ac:dyDescent="0.25">
      <c r="A354" s="79" t="s">
        <v>187</v>
      </c>
      <c r="B354" s="37" t="s">
        <v>87</v>
      </c>
      <c r="C354" s="5" t="s">
        <v>577</v>
      </c>
      <c r="D354" s="429">
        <f>NHANCONG!G340</f>
        <v>1572.78009</v>
      </c>
      <c r="E354" s="429">
        <f>THIETBI!I400</f>
        <v>0</v>
      </c>
      <c r="F354" s="429">
        <f>DUNGCU!H450</f>
        <v>0</v>
      </c>
      <c r="G354" s="429">
        <f>VATLIEU!F362</f>
        <v>0</v>
      </c>
      <c r="H354" s="429">
        <f>DIENNANG!F295</f>
        <v>0</v>
      </c>
      <c r="I354" s="429">
        <f>SUM(Table10[[#This Row],[1]:[5]])</f>
        <v>1572.78009</v>
      </c>
      <c r="J354" s="429">
        <f>Table10[[#This Row],[6=1+...+5]]*15%</f>
        <v>235.9170135</v>
      </c>
      <c r="K354" s="429">
        <f>(Table10[[#This Row],[6=1+...+5]]-Table10[[#This Row],[2]])*15%</f>
        <v>235.9170135</v>
      </c>
      <c r="L354" s="429">
        <f>Table10[[#This Row],[6=1+...+5]]+Table10[[#This Row],[7=6*15%]]</f>
        <v>1808.6971034999999</v>
      </c>
      <c r="M354" s="464">
        <f t="shared" si="79"/>
        <v>1808.6971034999999</v>
      </c>
      <c r="N354" s="187"/>
    </row>
    <row r="355" spans="1:14" ht="15.75" x14ac:dyDescent="0.25">
      <c r="A355" s="116" t="s">
        <v>188</v>
      </c>
      <c r="B355" s="106" t="s">
        <v>88</v>
      </c>
      <c r="C355" s="5"/>
      <c r="D355" s="429"/>
      <c r="E355" s="429"/>
      <c r="F355" s="429"/>
      <c r="G355" s="429"/>
      <c r="H355" s="429"/>
      <c r="I355" s="429"/>
      <c r="J355" s="429"/>
      <c r="K355" s="429"/>
      <c r="L355" s="429"/>
      <c r="M355" s="464"/>
      <c r="N355" s="190" t="s">
        <v>54</v>
      </c>
    </row>
    <row r="356" spans="1:14" ht="31.5" x14ac:dyDescent="0.25">
      <c r="A356" s="269" t="s">
        <v>617</v>
      </c>
      <c r="B356" s="143" t="s">
        <v>618</v>
      </c>
      <c r="C356" s="5"/>
      <c r="D356" s="469"/>
      <c r="E356" s="469"/>
      <c r="F356" s="469"/>
      <c r="G356" s="470"/>
      <c r="H356" s="469"/>
      <c r="I356" s="469"/>
      <c r="J356" s="469"/>
      <c r="K356" s="429"/>
      <c r="L356" s="477"/>
      <c r="M356" s="464"/>
      <c r="N356" s="224" t="s">
        <v>658</v>
      </c>
    </row>
    <row r="357" spans="1:14" ht="15.75" x14ac:dyDescent="0.25">
      <c r="A357" s="79" t="s">
        <v>185</v>
      </c>
      <c r="B357" s="427" t="s">
        <v>85</v>
      </c>
      <c r="C357" s="5" t="s">
        <v>577</v>
      </c>
      <c r="D357" s="429">
        <f>NHANCONG!G343</f>
        <v>1279.2754400000001</v>
      </c>
      <c r="E357" s="429">
        <f>THIETBI!I403</f>
        <v>0</v>
      </c>
      <c r="F357" s="429">
        <f>DUNGCU!H453</f>
        <v>0</v>
      </c>
      <c r="G357" s="429">
        <f>VATLIEU!F365</f>
        <v>0</v>
      </c>
      <c r="H357" s="429">
        <f>DIENNANG!F298</f>
        <v>0</v>
      </c>
      <c r="I357" s="470">
        <f>SUM(Table10[[#This Row],[1]:[5]])</f>
        <v>1279.2754400000001</v>
      </c>
      <c r="J357" s="429">
        <f>Table10[[#This Row],[6=1+...+5]]*15%</f>
        <v>191.89131600000002</v>
      </c>
      <c r="K357" s="429">
        <f>(Table10[[#This Row],[6=1+...+5]]-Table10[[#This Row],[2]])*15%</f>
        <v>191.89131600000002</v>
      </c>
      <c r="L357" s="478">
        <f>Table10[[#This Row],[6=1+...+5]]+Table10[[#This Row],[7=6*15%]]</f>
        <v>1471.1667560000001</v>
      </c>
      <c r="M357" s="464">
        <f t="shared" ref="M357" si="80">I357-E357+K357</f>
        <v>1471.1667560000001</v>
      </c>
      <c r="N357" s="224"/>
    </row>
    <row r="358" spans="1:14" ht="15.75" x14ac:dyDescent="0.25">
      <c r="A358" s="79" t="s">
        <v>186</v>
      </c>
      <c r="B358" s="427" t="s">
        <v>86</v>
      </c>
      <c r="C358" s="5"/>
      <c r="D358" s="469"/>
      <c r="E358" s="429"/>
      <c r="F358" s="470"/>
      <c r="G358" s="470"/>
      <c r="H358" s="470"/>
      <c r="I358" s="469"/>
      <c r="J358" s="469"/>
      <c r="K358" s="429"/>
      <c r="L358" s="477"/>
      <c r="M358" s="464"/>
      <c r="N358" s="224"/>
    </row>
    <row r="359" spans="1:14" ht="15.75" x14ac:dyDescent="0.25">
      <c r="A359" s="79" t="s">
        <v>555</v>
      </c>
      <c r="B359" s="425" t="s">
        <v>90</v>
      </c>
      <c r="C359" s="5" t="s">
        <v>578</v>
      </c>
      <c r="D359" s="429">
        <f>NHANCONG!G345</f>
        <v>7355.8337800000008</v>
      </c>
      <c r="E359" s="429">
        <f>THIETBI!I405</f>
        <v>45.514772727272728</v>
      </c>
      <c r="F359" s="429">
        <f>DUNGCU!H455</f>
        <v>90.457529519230775</v>
      </c>
      <c r="G359" s="429">
        <f>VATLIEU!F367</f>
        <v>0</v>
      </c>
      <c r="H359" s="429">
        <f>DIENNANG!F300</f>
        <v>372.33932400000003</v>
      </c>
      <c r="I359" s="470">
        <f>SUM(Table10[[#This Row],[1]:[5]])</f>
        <v>7864.1454062465036</v>
      </c>
      <c r="J359" s="429">
        <f>Table10[[#This Row],[6=1+...+5]]*15%</f>
        <v>1179.6218109369754</v>
      </c>
      <c r="K359" s="429">
        <f>(Table10[[#This Row],[6=1+...+5]]-Table10[[#This Row],[2]])*15%</f>
        <v>1172.7945950278847</v>
      </c>
      <c r="L359" s="478">
        <f>Table10[[#This Row],[6=1+...+5]]+Table10[[#This Row],[7=6*15%]]</f>
        <v>9043.7672171834784</v>
      </c>
      <c r="M359" s="464">
        <f t="shared" ref="M359:M362" si="81">I359-E359+K359</f>
        <v>8991.4252285471157</v>
      </c>
      <c r="N359" s="224"/>
    </row>
    <row r="360" spans="1:14" ht="15.75" x14ac:dyDescent="0.25">
      <c r="A360" s="79" t="s">
        <v>556</v>
      </c>
      <c r="B360" s="425" t="s">
        <v>91</v>
      </c>
      <c r="C360" s="5" t="s">
        <v>412</v>
      </c>
      <c r="D360" s="429">
        <f>NHANCONG!G346</f>
        <v>2846.3878540000001</v>
      </c>
      <c r="E360" s="429">
        <f>THIETBI!I406</f>
        <v>42.552272727272729</v>
      </c>
      <c r="F360" s="429">
        <f>DUNGCU!H456</f>
        <v>82.020332051282068</v>
      </c>
      <c r="G360" s="429">
        <f>VATLIEU!F368</f>
        <v>0</v>
      </c>
      <c r="H360" s="429">
        <f>DIENNANG!F301</f>
        <v>339.77541024000004</v>
      </c>
      <c r="I360" s="470">
        <f>SUM(Table10[[#This Row],[1]:[5]])</f>
        <v>3310.7358690185547</v>
      </c>
      <c r="J360" s="429">
        <f>Table10[[#This Row],[6=1+...+5]]*15%</f>
        <v>496.61038035278318</v>
      </c>
      <c r="K360" s="429">
        <f>(Table10[[#This Row],[6=1+...+5]]-Table10[[#This Row],[2]])*15%</f>
        <v>490.22753944369225</v>
      </c>
      <c r="L360" s="478">
        <f>Table10[[#This Row],[6=1+...+5]]+Table10[[#This Row],[7=6*15%]]</f>
        <v>3807.3462493713378</v>
      </c>
      <c r="M360" s="464">
        <f t="shared" si="81"/>
        <v>3758.4111357349743</v>
      </c>
      <c r="N360" s="224"/>
    </row>
    <row r="361" spans="1:14" ht="15.75" x14ac:dyDescent="0.25">
      <c r="A361" s="79" t="s">
        <v>557</v>
      </c>
      <c r="B361" s="425" t="s">
        <v>92</v>
      </c>
      <c r="C361" s="5" t="s">
        <v>411</v>
      </c>
      <c r="D361" s="429">
        <f>NHANCONG!G347</f>
        <v>20.7882259</v>
      </c>
      <c r="E361" s="429">
        <f>THIETBI!I407</f>
        <v>0.14381590909090911</v>
      </c>
      <c r="F361" s="429">
        <f>DUNGCU!H457</f>
        <v>0.21648692076923082</v>
      </c>
      <c r="G361" s="429">
        <f>VATLIEU!F369</f>
        <v>0</v>
      </c>
      <c r="H361" s="429">
        <f>DIENNANG!F302</f>
        <v>1.0895207580000001</v>
      </c>
      <c r="I361" s="470">
        <f>SUM(Table10[[#This Row],[1]:[5]])</f>
        <v>22.238049487860138</v>
      </c>
      <c r="J361" s="429">
        <f>Table10[[#This Row],[6=1+...+5]]*15%</f>
        <v>3.3357074231790205</v>
      </c>
      <c r="K361" s="429">
        <f>(Table10[[#This Row],[6=1+...+5]]-Table10[[#This Row],[2]])*15%</f>
        <v>3.3141350368153843</v>
      </c>
      <c r="L361" s="478">
        <f>Table10[[#This Row],[6=1+...+5]]+Table10[[#This Row],[7=6*15%]]</f>
        <v>25.573756911039158</v>
      </c>
      <c r="M361" s="464">
        <f t="shared" si="81"/>
        <v>25.408368615584614</v>
      </c>
      <c r="N361" s="224"/>
    </row>
    <row r="362" spans="1:14" ht="15.75" x14ac:dyDescent="0.25">
      <c r="A362" s="79" t="s">
        <v>187</v>
      </c>
      <c r="B362" s="427" t="s">
        <v>87</v>
      </c>
      <c r="C362" s="5" t="s">
        <v>577</v>
      </c>
      <c r="D362" s="429">
        <f>NHANCONG!G348</f>
        <v>1183.329782</v>
      </c>
      <c r="E362" s="429">
        <f>THIETBI!I408</f>
        <v>0</v>
      </c>
      <c r="F362" s="429">
        <f>DUNGCU!H458</f>
        <v>0</v>
      </c>
      <c r="G362" s="429">
        <f>VATLIEU!F370</f>
        <v>0</v>
      </c>
      <c r="H362" s="429">
        <f>DIENNANG!F303</f>
        <v>0</v>
      </c>
      <c r="I362" s="470">
        <f>SUM(Table10[[#This Row],[1]:[5]])</f>
        <v>1183.329782</v>
      </c>
      <c r="J362" s="429">
        <f>Table10[[#This Row],[6=1+...+5]]*15%</f>
        <v>177.49946729999999</v>
      </c>
      <c r="K362" s="429">
        <f>(Table10[[#This Row],[6=1+...+5]]-Table10[[#This Row],[2]])*15%</f>
        <v>177.49946729999999</v>
      </c>
      <c r="L362" s="478">
        <f>Table10[[#This Row],[6=1+...+5]]+Table10[[#This Row],[7=6*15%]]</f>
        <v>1360.8292492999999</v>
      </c>
      <c r="M362" s="464">
        <f t="shared" si="81"/>
        <v>1360.8292492999999</v>
      </c>
      <c r="N362" s="224"/>
    </row>
    <row r="363" spans="1:14" ht="15.75" x14ac:dyDescent="0.25">
      <c r="A363" s="116" t="s">
        <v>188</v>
      </c>
      <c r="B363" s="428" t="s">
        <v>88</v>
      </c>
      <c r="C363" s="243"/>
      <c r="D363" s="479"/>
      <c r="E363" s="479"/>
      <c r="F363" s="479"/>
      <c r="G363" s="479"/>
      <c r="H363" s="479"/>
      <c r="I363" s="479"/>
      <c r="J363" s="479"/>
      <c r="K363" s="480"/>
      <c r="L363" s="481"/>
      <c r="M363" s="482"/>
      <c r="N363" s="434" t="s">
        <v>54</v>
      </c>
    </row>
    <row r="364" spans="1:14" ht="15.75" x14ac:dyDescent="0.25">
      <c r="A364" s="351"/>
    </row>
  </sheetData>
  <mergeCells count="11">
    <mergeCell ref="N5:N6"/>
    <mergeCell ref="A1:L1"/>
    <mergeCell ref="A2:L2"/>
    <mergeCell ref="A3:L3"/>
    <mergeCell ref="J4:L4"/>
    <mergeCell ref="A5:A6"/>
    <mergeCell ref="B5:B6"/>
    <mergeCell ref="C5:C6"/>
    <mergeCell ref="D5:I5"/>
    <mergeCell ref="J5:K5"/>
    <mergeCell ref="L5:M5"/>
  </mergeCell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1"/>
  <sheetViews>
    <sheetView zoomScale="90" zoomScaleNormal="90" workbookViewId="0">
      <pane ySplit="5" topLeftCell="A6" activePane="bottomLeft" state="frozen"/>
      <selection pane="bottomLeft" activeCell="F6" sqref="F6"/>
    </sheetView>
  </sheetViews>
  <sheetFormatPr defaultRowHeight="15" x14ac:dyDescent="0.25"/>
  <cols>
    <col min="2" max="2" width="56.28515625" customWidth="1"/>
    <col min="3" max="3" width="18.85546875" bestFit="1" customWidth="1"/>
    <col min="4" max="4" width="19.5703125" style="71" customWidth="1"/>
    <col min="5" max="5" width="16.7109375" style="11" bestFit="1" customWidth="1"/>
    <col min="6" max="6" width="25.42578125" customWidth="1"/>
  </cols>
  <sheetData>
    <row r="1" spans="1:8" ht="15.75" x14ac:dyDescent="0.25">
      <c r="A1" s="442" t="s">
        <v>462</v>
      </c>
      <c r="B1" s="442"/>
      <c r="C1" s="442"/>
      <c r="D1" s="442"/>
      <c r="E1" s="442"/>
      <c r="F1" s="19"/>
      <c r="G1" s="19"/>
      <c r="H1" s="19"/>
    </row>
    <row r="2" spans="1:8" ht="15.75" x14ac:dyDescent="0.25">
      <c r="A2" s="443" t="s">
        <v>464</v>
      </c>
      <c r="B2" s="443"/>
      <c r="C2" s="443"/>
      <c r="D2" s="443"/>
      <c r="E2" s="443"/>
      <c r="F2" s="20"/>
      <c r="G2" s="20"/>
      <c r="H2" s="20"/>
    </row>
    <row r="3" spans="1:8" ht="15.75" x14ac:dyDescent="0.25">
      <c r="A3" s="458" t="s">
        <v>660</v>
      </c>
      <c r="B3" s="458"/>
      <c r="C3" s="458"/>
      <c r="D3" s="458"/>
      <c r="E3" s="458"/>
    </row>
    <row r="5" spans="1:8" ht="33" x14ac:dyDescent="0.25">
      <c r="A5" s="62" t="s">
        <v>2</v>
      </c>
      <c r="B5" s="62" t="s">
        <v>465</v>
      </c>
      <c r="C5" s="62" t="s">
        <v>396</v>
      </c>
      <c r="D5" s="69" t="s">
        <v>461</v>
      </c>
      <c r="E5" s="432" t="s">
        <v>466</v>
      </c>
      <c r="F5" s="440" t="s">
        <v>53</v>
      </c>
    </row>
    <row r="6" spans="1:8" ht="16.5" x14ac:dyDescent="0.25">
      <c r="A6" s="63" t="s">
        <v>11</v>
      </c>
      <c r="B6" s="63" t="s">
        <v>459</v>
      </c>
      <c r="C6" s="63"/>
      <c r="D6" s="72" t="s">
        <v>468</v>
      </c>
      <c r="E6" s="63" t="s">
        <v>469</v>
      </c>
      <c r="F6" s="374"/>
    </row>
    <row r="7" spans="1:8" ht="16.5" x14ac:dyDescent="0.25">
      <c r="A7" s="64">
        <v>1</v>
      </c>
      <c r="B7" s="65" t="s">
        <v>192</v>
      </c>
      <c r="C7" s="62" t="s">
        <v>107</v>
      </c>
      <c r="D7" s="369">
        <v>15000000</v>
      </c>
      <c r="E7" s="64">
        <v>8</v>
      </c>
      <c r="F7" s="374"/>
    </row>
    <row r="8" spans="1:8" ht="33" x14ac:dyDescent="0.25">
      <c r="A8" s="64">
        <v>2</v>
      </c>
      <c r="B8" s="65" t="s">
        <v>193</v>
      </c>
      <c r="C8" s="62" t="s">
        <v>107</v>
      </c>
      <c r="D8" s="70">
        <f>15000000/1.1</f>
        <v>13636363.636363635</v>
      </c>
      <c r="E8" s="64">
        <v>5</v>
      </c>
      <c r="F8" s="431" t="s">
        <v>659</v>
      </c>
    </row>
    <row r="9" spans="1:8" ht="33" x14ac:dyDescent="0.25">
      <c r="A9" s="64">
        <v>3</v>
      </c>
      <c r="B9" s="65" t="s">
        <v>236</v>
      </c>
      <c r="C9" s="62" t="s">
        <v>107</v>
      </c>
      <c r="D9" s="70">
        <f>10000000/1.1</f>
        <v>9090909.0909090899</v>
      </c>
      <c r="E9" s="64">
        <v>5</v>
      </c>
      <c r="F9" s="431" t="s">
        <v>659</v>
      </c>
    </row>
    <row r="10" spans="1:8" ht="16.5" x14ac:dyDescent="0.25">
      <c r="A10" s="64">
        <v>4</v>
      </c>
      <c r="B10" s="67" t="s">
        <v>266</v>
      </c>
      <c r="C10" s="360" t="s">
        <v>200</v>
      </c>
      <c r="D10" s="70">
        <f>VLOOKUP(Table1[[#This Row],[TÊN VẬT TƯ]],[1]pm!$B$3:$F$257,5,0)</f>
        <v>86282000</v>
      </c>
      <c r="E10" s="64">
        <v>5</v>
      </c>
      <c r="F10" s="374"/>
    </row>
    <row r="11" spans="1:8" ht="33" x14ac:dyDescent="0.25">
      <c r="A11" s="64">
        <v>5</v>
      </c>
      <c r="B11" s="65" t="s">
        <v>324</v>
      </c>
      <c r="C11" s="360" t="s">
        <v>200</v>
      </c>
      <c r="D11" s="70">
        <f>15000000/1.1</f>
        <v>13636363.636363635</v>
      </c>
      <c r="E11" s="64">
        <v>5</v>
      </c>
      <c r="F11" s="431" t="s">
        <v>659</v>
      </c>
    </row>
    <row r="12" spans="1:8" ht="16.5" x14ac:dyDescent="0.25">
      <c r="A12" s="64">
        <v>6</v>
      </c>
      <c r="B12" s="65" t="s">
        <v>325</v>
      </c>
      <c r="C12" s="360" t="s">
        <v>107</v>
      </c>
      <c r="D12" s="70">
        <f>VLOOKUP(Table1[[#This Row],[TÊN VẬT TƯ]],[1]pm!$B$3:$F$257,5,0)</f>
        <v>8449000</v>
      </c>
      <c r="E12" s="64">
        <v>5</v>
      </c>
      <c r="F12" s="374"/>
    </row>
    <row r="13" spans="1:8" ht="16.5" x14ac:dyDescent="0.25">
      <c r="A13" s="63" t="s">
        <v>12</v>
      </c>
      <c r="B13" s="68" t="s">
        <v>460</v>
      </c>
      <c r="C13" s="68"/>
      <c r="D13" s="72" t="s">
        <v>468</v>
      </c>
      <c r="E13" s="63"/>
      <c r="F13" s="374"/>
    </row>
    <row r="14" spans="1:8" ht="16.5" x14ac:dyDescent="0.25">
      <c r="A14" s="64">
        <v>1</v>
      </c>
      <c r="B14" s="66" t="s">
        <v>198</v>
      </c>
      <c r="C14" s="64" t="s">
        <v>107</v>
      </c>
      <c r="D14" s="70">
        <f>VLOOKUP(Table1[[#This Row],[TÊN VẬT TƯ]],[1]pm!$B$3:$F$257,5,0)</f>
        <v>2454545</v>
      </c>
      <c r="E14" s="64"/>
      <c r="F14" s="374"/>
    </row>
    <row r="15" spans="1:8" ht="16.5" x14ac:dyDescent="0.25">
      <c r="A15" s="64">
        <v>2</v>
      </c>
      <c r="B15" s="66" t="s">
        <v>203</v>
      </c>
      <c r="C15" s="64" t="s">
        <v>107</v>
      </c>
      <c r="D15" s="70">
        <f>VLOOKUP(Table1[[#This Row],[TÊN VẬT TƯ]],[1]pm!$B$3:$F$257,5,0)</f>
        <v>183000</v>
      </c>
      <c r="E15" s="64"/>
      <c r="F15" s="374"/>
    </row>
    <row r="16" spans="1:8" ht="16.5" x14ac:dyDescent="0.25">
      <c r="A16" s="64">
        <v>3</v>
      </c>
      <c r="B16" s="66" t="s">
        <v>204</v>
      </c>
      <c r="C16" s="64" t="s">
        <v>107</v>
      </c>
      <c r="D16" s="70">
        <f>VLOOKUP(Table1[[#This Row],[TÊN VẬT TƯ]],[1]pm!$B$3:$F$257,5,0)</f>
        <v>681818</v>
      </c>
      <c r="E16" s="64"/>
      <c r="F16" s="374"/>
    </row>
    <row r="17" spans="1:6" ht="16.5" x14ac:dyDescent="0.25">
      <c r="A17" s="64">
        <v>4</v>
      </c>
      <c r="B17" s="67" t="s">
        <v>241</v>
      </c>
      <c r="C17" s="64" t="s">
        <v>107</v>
      </c>
      <c r="D17" s="70">
        <f>VLOOKUP(Table1[[#This Row],[TÊN VẬT TƯ]],[1]pm!$B$3:$F$257,5,0)</f>
        <v>2363636</v>
      </c>
      <c r="E17" s="64"/>
      <c r="F17" s="374"/>
    </row>
    <row r="18" spans="1:6" ht="16.5" x14ac:dyDescent="0.25">
      <c r="A18" s="64">
        <v>5</v>
      </c>
      <c r="B18" s="67" t="s">
        <v>242</v>
      </c>
      <c r="C18" s="64" t="s">
        <v>107</v>
      </c>
      <c r="D18" s="70">
        <f>VLOOKUP(Table1[[#This Row],[TÊN VẬT TƯ]],[1]pm!$B$3:$F$257,5,0)</f>
        <v>636364</v>
      </c>
      <c r="E18" s="64"/>
      <c r="F18" s="374"/>
    </row>
    <row r="19" spans="1:6" ht="16.5" x14ac:dyDescent="0.25">
      <c r="A19" s="64">
        <v>6</v>
      </c>
      <c r="B19" s="67" t="s">
        <v>250</v>
      </c>
      <c r="C19" s="64" t="s">
        <v>107</v>
      </c>
      <c r="D19" s="70">
        <f>VLOOKUP(Table1[[#This Row],[TÊN VẬT TƯ]],[1]pm!$B$3:$F$257,5,0)</f>
        <v>1882000</v>
      </c>
      <c r="E19" s="64"/>
      <c r="F19" s="374"/>
    </row>
    <row r="20" spans="1:6" ht="16.5" x14ac:dyDescent="0.25">
      <c r="A20" s="64">
        <v>7</v>
      </c>
      <c r="B20" s="67" t="s">
        <v>473</v>
      </c>
      <c r="C20" s="64" t="s">
        <v>107</v>
      </c>
      <c r="D20" s="70">
        <f>VLOOKUP(Table1[[#This Row],[TÊN VẬT TƯ]],[1]pm!$B$3:$F$257,5,0)</f>
        <v>13350000</v>
      </c>
      <c r="E20" s="64"/>
      <c r="F20" s="374"/>
    </row>
    <row r="21" spans="1:6" ht="16.5" x14ac:dyDescent="0.25">
      <c r="A21" s="64">
        <v>8</v>
      </c>
      <c r="B21" s="67" t="s">
        <v>276</v>
      </c>
      <c r="C21" s="360" t="s">
        <v>277</v>
      </c>
      <c r="D21" s="70">
        <f>VLOOKUP(Table1[[#This Row],[TÊN VẬT TƯ]],[1]pm!$B$3:$F$257,5,0)</f>
        <v>12000</v>
      </c>
      <c r="E21" s="64"/>
      <c r="F21" s="374"/>
    </row>
    <row r="22" spans="1:6" ht="16.5" x14ac:dyDescent="0.25">
      <c r="A22" s="64">
        <v>9</v>
      </c>
      <c r="B22" s="67" t="s">
        <v>278</v>
      </c>
      <c r="C22" s="360" t="s">
        <v>107</v>
      </c>
      <c r="D22" s="70">
        <f>VLOOKUP(Table1[[#This Row],[TÊN VẬT TƯ]],[1]pm!$B$3:$F$257,5,0)</f>
        <v>40000</v>
      </c>
      <c r="E22" s="64"/>
      <c r="F22" s="374"/>
    </row>
    <row r="23" spans="1:6" ht="16.5" x14ac:dyDescent="0.25">
      <c r="A23" s="64">
        <v>10</v>
      </c>
      <c r="B23" s="67" t="s">
        <v>279</v>
      </c>
      <c r="C23" s="360" t="s">
        <v>107</v>
      </c>
      <c r="D23" s="70">
        <f>VLOOKUP(Table1[[#This Row],[TÊN VẬT TƯ]],[1]pm!$B$3:$F$257,5,0)</f>
        <v>760000</v>
      </c>
      <c r="E23" s="64"/>
      <c r="F23" s="374"/>
    </row>
    <row r="24" spans="1:6" ht="16.5" x14ac:dyDescent="0.25">
      <c r="A24" s="64">
        <v>11</v>
      </c>
      <c r="B24" s="67" t="s">
        <v>280</v>
      </c>
      <c r="C24" s="360" t="s">
        <v>107</v>
      </c>
      <c r="D24" s="70">
        <v>285000</v>
      </c>
      <c r="E24" s="64"/>
      <c r="F24" s="374"/>
    </row>
    <row r="25" spans="1:6" ht="16.5" x14ac:dyDescent="0.25">
      <c r="A25" s="64">
        <v>12</v>
      </c>
      <c r="B25" s="67" t="s">
        <v>281</v>
      </c>
      <c r="C25" s="360" t="s">
        <v>107</v>
      </c>
      <c r="D25" s="70">
        <v>285000</v>
      </c>
      <c r="E25" s="64"/>
      <c r="F25" s="374"/>
    </row>
    <row r="26" spans="1:6" ht="16.5" x14ac:dyDescent="0.25">
      <c r="A26" s="64">
        <v>13</v>
      </c>
      <c r="B26" s="67" t="s">
        <v>282</v>
      </c>
      <c r="C26" s="360" t="s">
        <v>107</v>
      </c>
      <c r="D26" s="70">
        <f>VLOOKUP(Table1[[#This Row],[TÊN VẬT TƯ]],[1]pm!$B$3:$F$257,5,0)</f>
        <v>225000</v>
      </c>
      <c r="E26" s="64"/>
      <c r="F26" s="374"/>
    </row>
    <row r="27" spans="1:6" ht="16.5" x14ac:dyDescent="0.25">
      <c r="A27" s="64">
        <v>14</v>
      </c>
      <c r="B27" s="67" t="s">
        <v>263</v>
      </c>
      <c r="C27" s="360" t="s">
        <v>107</v>
      </c>
      <c r="D27" s="70">
        <f>VLOOKUP(Table1[[#This Row],[TÊN VẬT TƯ]],[1]pm!$B$3:$F$257,5,0)</f>
        <v>275000</v>
      </c>
      <c r="E27" s="64"/>
      <c r="F27" s="374"/>
    </row>
    <row r="28" spans="1:6" ht="16.5" x14ac:dyDescent="0.25">
      <c r="A28" s="64">
        <v>15</v>
      </c>
      <c r="B28" s="67" t="s">
        <v>305</v>
      </c>
      <c r="C28" s="360" t="s">
        <v>107</v>
      </c>
      <c r="D28" s="70">
        <f>VLOOKUP(Table1[[#This Row],[TÊN VẬT TƯ]],[1]pm!$B$3:$F$257,5,0)</f>
        <v>30000</v>
      </c>
      <c r="E28" s="64"/>
      <c r="F28" s="374"/>
    </row>
    <row r="29" spans="1:6" ht="16.5" x14ac:dyDescent="0.25">
      <c r="A29" s="64">
        <v>16</v>
      </c>
      <c r="B29" s="67" t="s">
        <v>306</v>
      </c>
      <c r="C29" s="360" t="s">
        <v>107</v>
      </c>
      <c r="D29" s="70">
        <f>VLOOKUP(Table1[[#This Row],[TÊN VẬT TƯ]],[1]pm!$B$3:$F$257,5,0)</f>
        <v>3520000</v>
      </c>
      <c r="E29" s="64"/>
      <c r="F29" s="374"/>
    </row>
    <row r="30" spans="1:6" ht="16.5" x14ac:dyDescent="0.25">
      <c r="A30" s="64">
        <v>17</v>
      </c>
      <c r="B30" s="67" t="s">
        <v>307</v>
      </c>
      <c r="C30" s="360" t="s">
        <v>107</v>
      </c>
      <c r="D30" s="70">
        <f>VLOOKUP(Table1[[#This Row],[TÊN VẬT TƯ]],[1]pm!$B$3:$F$257,5,0)</f>
        <v>21000</v>
      </c>
      <c r="E30" s="64"/>
      <c r="F30" s="374"/>
    </row>
    <row r="31" spans="1:6" ht="16.5" x14ac:dyDescent="0.25">
      <c r="A31" s="64">
        <v>18</v>
      </c>
      <c r="B31" s="67" t="s">
        <v>332</v>
      </c>
      <c r="C31" s="360" t="s">
        <v>107</v>
      </c>
      <c r="D31" s="70">
        <f>VLOOKUP(Table1[[#This Row],[TÊN VẬT TƯ]],[1]pm!$B$3:$F$257,5,0)</f>
        <v>5545455</v>
      </c>
      <c r="E31" s="64"/>
      <c r="F31" s="374"/>
    </row>
    <row r="32" spans="1:6" ht="16.5" x14ac:dyDescent="0.25">
      <c r="A32" s="64">
        <v>19</v>
      </c>
      <c r="B32" s="67" t="s">
        <v>239</v>
      </c>
      <c r="C32" s="360" t="s">
        <v>200</v>
      </c>
      <c r="D32" s="70">
        <f>VLOOKUP(Table1[[#This Row],[TÊN VẬT TƯ]],[1]pm!$B$3:$F$257,5,0)</f>
        <v>135000</v>
      </c>
      <c r="E32" s="64"/>
      <c r="F32" s="374"/>
    </row>
    <row r="33" spans="1:6" ht="16.5" x14ac:dyDescent="0.25">
      <c r="A33" s="64">
        <v>20</v>
      </c>
      <c r="B33" s="67" t="s">
        <v>199</v>
      </c>
      <c r="C33" s="360" t="s">
        <v>200</v>
      </c>
      <c r="D33" s="70">
        <f>VLOOKUP(Table1[[#This Row],[TÊN VẬT TƯ]],[1]pm!$B$3:$F$257,5,0)</f>
        <v>105000</v>
      </c>
      <c r="E33" s="64"/>
      <c r="F33" s="374"/>
    </row>
    <row r="34" spans="1:6" ht="16.5" x14ac:dyDescent="0.25">
      <c r="A34" s="64">
        <v>21</v>
      </c>
      <c r="B34" s="67" t="s">
        <v>201</v>
      </c>
      <c r="C34" s="360" t="s">
        <v>107</v>
      </c>
      <c r="D34" s="70">
        <f>VLOOKUP(Table1[[#This Row],[TÊN VẬT TƯ]],[1]pm!$B$3:$F$257,5,0)</f>
        <v>690000</v>
      </c>
      <c r="E34" s="64"/>
      <c r="F34" s="374"/>
    </row>
    <row r="35" spans="1:6" ht="16.5" x14ac:dyDescent="0.25">
      <c r="A35" s="64">
        <v>22</v>
      </c>
      <c r="B35" s="67" t="s">
        <v>202</v>
      </c>
      <c r="C35" s="360" t="s">
        <v>107</v>
      </c>
      <c r="D35" s="70">
        <f>VLOOKUP(Table1[[#This Row],[TÊN VẬT TƯ]],[1]pm!$B$3:$F$257,5,0)</f>
        <v>1665000</v>
      </c>
      <c r="E35" s="64"/>
      <c r="F35" s="374"/>
    </row>
    <row r="36" spans="1:6" ht="33" x14ac:dyDescent="0.25">
      <c r="A36" s="64">
        <v>23</v>
      </c>
      <c r="B36" s="67" t="s">
        <v>269</v>
      </c>
      <c r="C36" s="360" t="s">
        <v>107</v>
      </c>
      <c r="D36" s="436">
        <v>5000000</v>
      </c>
      <c r="E36" s="64"/>
      <c r="F36" s="431" t="s">
        <v>659</v>
      </c>
    </row>
    <row r="37" spans="1:6" ht="16.5" x14ac:dyDescent="0.25">
      <c r="A37" s="63" t="s">
        <v>13</v>
      </c>
      <c r="B37" s="68" t="s">
        <v>467</v>
      </c>
      <c r="C37" s="68"/>
      <c r="D37" s="72" t="s">
        <v>468</v>
      </c>
      <c r="E37" s="63"/>
      <c r="F37" s="374"/>
    </row>
    <row r="38" spans="1:6" ht="16.5" x14ac:dyDescent="0.25">
      <c r="A38" s="365">
        <v>1</v>
      </c>
      <c r="B38" s="366" t="s">
        <v>99</v>
      </c>
      <c r="C38" s="368" t="s">
        <v>100</v>
      </c>
      <c r="D38" s="70">
        <f>VLOOKUP(Table1[[#This Row],[TÊN VẬT TƯ]],[1]pm!$B$3:$F$257,5,0)</f>
        <v>81818</v>
      </c>
      <c r="E38" s="64"/>
      <c r="F38" s="374"/>
    </row>
    <row r="39" spans="1:6" ht="16.5" x14ac:dyDescent="0.25">
      <c r="A39" s="365">
        <v>2</v>
      </c>
      <c r="B39" s="366" t="s">
        <v>101</v>
      </c>
      <c r="C39" s="368" t="s">
        <v>600</v>
      </c>
      <c r="D39" s="70">
        <f>VLOOKUP(Table1[[#This Row],[TÊN VẬT TƯ]],[1]pm!$B$3:$F$257,5,0)</f>
        <v>60900</v>
      </c>
      <c r="E39" s="64"/>
      <c r="F39" s="374"/>
    </row>
    <row r="40" spans="1:6" ht="16.5" x14ac:dyDescent="0.25">
      <c r="A40" s="365">
        <v>3</v>
      </c>
      <c r="B40" s="366" t="s">
        <v>243</v>
      </c>
      <c r="C40" s="368" t="s">
        <v>104</v>
      </c>
      <c r="D40" s="70">
        <f>VLOOKUP(Table1[[#This Row],[TÊN VẬT TƯ]],[1]pm!$B$3:$F$257,5,0)</f>
        <v>1560000</v>
      </c>
      <c r="E40" s="64"/>
      <c r="F40" s="374"/>
    </row>
    <row r="41" spans="1:6" ht="16.5" x14ac:dyDescent="0.25">
      <c r="A41" s="365">
        <v>4</v>
      </c>
      <c r="B41" s="366" t="s">
        <v>109</v>
      </c>
      <c r="C41" s="368" t="s">
        <v>107</v>
      </c>
      <c r="D41" s="70">
        <f>VLOOKUP(Table1[[#This Row],[TÊN VẬT TƯ]],[1]pm!$B$3:$F$257,5,0)</f>
        <v>4000</v>
      </c>
      <c r="E41" s="64"/>
      <c r="F41" s="374"/>
    </row>
    <row r="42" spans="1:6" ht="16.5" x14ac:dyDescent="0.25">
      <c r="A42" s="365">
        <v>5</v>
      </c>
      <c r="B42" s="366" t="s">
        <v>244</v>
      </c>
      <c r="C42" s="368" t="s">
        <v>107</v>
      </c>
      <c r="D42" s="70">
        <f>VLOOKUP(Table1[[#This Row],[TÊN VẬT TƯ]],[1]pm!$B$3:$F$257,5,0)</f>
        <v>3300</v>
      </c>
      <c r="E42" s="64"/>
      <c r="F42" s="374"/>
    </row>
    <row r="43" spans="1:6" ht="16.5" x14ac:dyDescent="0.25">
      <c r="A43" s="365">
        <v>6</v>
      </c>
      <c r="B43" s="366" t="s">
        <v>253</v>
      </c>
      <c r="C43" s="368" t="s">
        <v>107</v>
      </c>
      <c r="D43" s="70">
        <f>VLOOKUP(Table1[[#This Row],[TÊN VẬT TƯ]],[1]pm!$B$3:$F$257,5,0)</f>
        <v>22000</v>
      </c>
      <c r="E43" s="64"/>
      <c r="F43" s="374"/>
    </row>
    <row r="44" spans="1:6" ht="16.5" x14ac:dyDescent="0.25">
      <c r="A44" s="365">
        <v>7</v>
      </c>
      <c r="B44" s="366" t="s">
        <v>254</v>
      </c>
      <c r="C44" s="368" t="s">
        <v>104</v>
      </c>
      <c r="D44" s="70">
        <f>VLOOKUP(Table1[[#This Row],[TÊN VẬT TƯ]],[1]pm!$B$3:$F$257,5,0)</f>
        <v>15000</v>
      </c>
      <c r="E44" s="64"/>
      <c r="F44" s="374"/>
    </row>
    <row r="45" spans="1:6" ht="16.5" x14ac:dyDescent="0.25">
      <c r="A45" s="365">
        <v>8</v>
      </c>
      <c r="B45" s="366" t="s">
        <v>255</v>
      </c>
      <c r="C45" s="368" t="s">
        <v>107</v>
      </c>
      <c r="D45" s="70">
        <f>VLOOKUP(Table1[[#This Row],[TÊN VẬT TƯ]],[1]pm!$B$3:$F$257,5,0)</f>
        <v>2500</v>
      </c>
      <c r="E45" s="64"/>
      <c r="F45" s="374"/>
    </row>
    <row r="46" spans="1:6" ht="16.5" x14ac:dyDescent="0.25">
      <c r="A46" s="365">
        <v>9</v>
      </c>
      <c r="B46" s="366" t="s">
        <v>106</v>
      </c>
      <c r="C46" s="370" t="s">
        <v>107</v>
      </c>
      <c r="D46" s="70">
        <f>VLOOKUP(Table1[[#This Row],[TÊN VẬT TƯ]],[1]pm!$B$3:$F$257,5,0)</f>
        <v>25000</v>
      </c>
      <c r="E46" s="64"/>
      <c r="F46" s="374"/>
    </row>
    <row r="47" spans="1:6" ht="16.5" x14ac:dyDescent="0.25">
      <c r="A47" s="365">
        <v>10</v>
      </c>
      <c r="B47" s="366" t="s">
        <v>257</v>
      </c>
      <c r="C47" s="368" t="s">
        <v>107</v>
      </c>
      <c r="D47" s="70">
        <f>VLOOKUP(Table1[[#This Row],[TÊN VẬT TƯ]],[1]pm!$B$3:$F$257,5,0)</f>
        <v>3600</v>
      </c>
      <c r="E47" s="64"/>
      <c r="F47" s="374"/>
    </row>
    <row r="48" spans="1:6" ht="16.5" x14ac:dyDescent="0.25">
      <c r="A48" s="365">
        <v>11</v>
      </c>
      <c r="B48" s="366" t="s">
        <v>258</v>
      </c>
      <c r="C48" s="368" t="s">
        <v>107</v>
      </c>
      <c r="D48" s="70">
        <f>VLOOKUP(Table1[[#This Row],[TÊN VẬT TƯ]],[1]pm!$B$3:$F$257,5,0)</f>
        <v>3000</v>
      </c>
      <c r="E48" s="64"/>
      <c r="F48" s="374"/>
    </row>
    <row r="49" spans="1:6" ht="16.5" x14ac:dyDescent="0.25">
      <c r="A49" s="365">
        <v>12</v>
      </c>
      <c r="B49" s="366" t="s">
        <v>259</v>
      </c>
      <c r="C49" s="368" t="s">
        <v>107</v>
      </c>
      <c r="D49" s="70">
        <f>VLOOKUP(Table1[[#This Row],[TÊN VẬT TƯ]],[1]pm!$B$3:$F$257,5,0)</f>
        <v>50000</v>
      </c>
      <c r="E49" s="64"/>
      <c r="F49" s="374"/>
    </row>
    <row r="50" spans="1:6" ht="16.5" x14ac:dyDescent="0.25">
      <c r="A50" s="365">
        <v>13</v>
      </c>
      <c r="B50" s="367" t="s">
        <v>601</v>
      </c>
      <c r="C50" s="368" t="s">
        <v>107</v>
      </c>
      <c r="D50" s="70">
        <f>VLOOKUP(Table1[[#This Row],[TÊN VẬT TƯ]],[1]pm!$B$3:$F$257,5,0)</f>
        <v>49000</v>
      </c>
      <c r="E50" s="64"/>
      <c r="F50" s="374"/>
    </row>
    <row r="51" spans="1:6" ht="16.5" x14ac:dyDescent="0.25">
      <c r="A51" s="365">
        <v>14</v>
      </c>
      <c r="B51" s="366" t="s">
        <v>260</v>
      </c>
      <c r="C51" s="368" t="s">
        <v>261</v>
      </c>
      <c r="D51" s="70">
        <f>VLOOKUP(Table1[[#This Row],[TÊN VẬT TƯ]],[1]pm!$B$3:$F$257,5,0)</f>
        <v>4500</v>
      </c>
      <c r="E51" s="64"/>
      <c r="F51" s="374"/>
    </row>
    <row r="52" spans="1:6" ht="16.5" x14ac:dyDescent="0.25">
      <c r="A52" s="365">
        <v>15</v>
      </c>
      <c r="B52" s="366" t="s">
        <v>284</v>
      </c>
      <c r="C52" s="368" t="s">
        <v>107</v>
      </c>
      <c r="D52" s="70">
        <f>VLOOKUP(Table1[[#This Row],[TÊN VẬT TƯ]],[1]pm!$B$3:$F$257,5,0)</f>
        <v>5500</v>
      </c>
      <c r="E52" s="64"/>
      <c r="F52" s="374"/>
    </row>
    <row r="53" spans="1:6" ht="16.5" x14ac:dyDescent="0.25">
      <c r="A53" s="365">
        <v>16</v>
      </c>
      <c r="B53" s="366" t="s">
        <v>285</v>
      </c>
      <c r="C53" s="368" t="s">
        <v>286</v>
      </c>
      <c r="D53" s="70">
        <f>VLOOKUP(Table1[[#This Row],[TÊN VẬT TƯ]],[1]pm!$B$3:$F$257,5,0)</f>
        <v>38000</v>
      </c>
      <c r="E53" s="64"/>
      <c r="F53" s="374"/>
    </row>
    <row r="54" spans="1:6" ht="16.5" x14ac:dyDescent="0.25">
      <c r="A54" s="365">
        <v>17</v>
      </c>
      <c r="B54" s="366" t="s">
        <v>287</v>
      </c>
      <c r="C54" s="368" t="s">
        <v>288</v>
      </c>
      <c r="D54" s="70">
        <f>VLOOKUP(Table1[[#This Row],[TÊN VẬT TƯ]],[1]pm!$B$3:$F$257,5,0)</f>
        <v>350000</v>
      </c>
      <c r="E54" s="64"/>
      <c r="F54" s="374"/>
    </row>
    <row r="55" spans="1:6" ht="16.5" x14ac:dyDescent="0.25">
      <c r="A55" s="365">
        <v>18</v>
      </c>
      <c r="B55" s="366" t="s">
        <v>289</v>
      </c>
      <c r="C55" s="368" t="s">
        <v>104</v>
      </c>
      <c r="D55" s="70">
        <f>VLOOKUP(Table1[[#This Row],[TÊN VẬT TƯ]],[1]pm!$B$3:$F$257,5,0)</f>
        <v>33000</v>
      </c>
      <c r="E55" s="64"/>
      <c r="F55" s="374"/>
    </row>
    <row r="56" spans="1:6" ht="16.5" x14ac:dyDescent="0.25">
      <c r="A56" s="365">
        <v>19</v>
      </c>
      <c r="B56" s="366" t="s">
        <v>290</v>
      </c>
      <c r="C56" s="368" t="s">
        <v>286</v>
      </c>
      <c r="D56" s="70">
        <f>VLOOKUP(Table1[[#This Row],[TÊN VẬT TƯ]],[1]pm!$B$3:$F$257,5,0)</f>
        <v>150909</v>
      </c>
      <c r="E56" s="64"/>
      <c r="F56" s="374"/>
    </row>
    <row r="57" spans="1:6" ht="16.5" x14ac:dyDescent="0.25">
      <c r="A57" s="365">
        <v>20</v>
      </c>
      <c r="B57" s="366" t="s">
        <v>295</v>
      </c>
      <c r="C57" s="368" t="s">
        <v>288</v>
      </c>
      <c r="D57" s="70">
        <f>VLOOKUP(Table1[[#This Row],[TÊN VẬT TƯ]],[1]pm!$B$3:$F$257,5,0)</f>
        <v>39000</v>
      </c>
      <c r="E57" s="64"/>
      <c r="F57" s="374"/>
    </row>
    <row r="58" spans="1:6" ht="16.5" x14ac:dyDescent="0.25">
      <c r="A58" s="365">
        <v>21</v>
      </c>
      <c r="B58" s="366" t="s">
        <v>303</v>
      </c>
      <c r="C58" s="368" t="s">
        <v>288</v>
      </c>
      <c r="D58" s="70">
        <f>VLOOKUP(Table1[[#This Row],[TÊN VẬT TƯ]],[1]pm!$B$3:$F$257,5,0)</f>
        <v>70000</v>
      </c>
      <c r="E58" s="64"/>
      <c r="F58" s="374"/>
    </row>
    <row r="59" spans="1:6" ht="16.5" x14ac:dyDescent="0.25">
      <c r="A59" s="365">
        <v>22</v>
      </c>
      <c r="B59" s="366" t="s">
        <v>309</v>
      </c>
      <c r="C59" s="368" t="s">
        <v>107</v>
      </c>
      <c r="D59" s="70">
        <f>VLOOKUP(Table1[[#This Row],[TÊN VẬT TƯ]],[1]pm!$B$3:$F$257,5,0)</f>
        <v>30000</v>
      </c>
      <c r="E59" s="64"/>
      <c r="F59" s="374"/>
    </row>
    <row r="60" spans="1:6" ht="16.5" x14ac:dyDescent="0.25">
      <c r="A60" s="365">
        <v>23</v>
      </c>
      <c r="B60" s="366" t="s">
        <v>310</v>
      </c>
      <c r="C60" s="368" t="s">
        <v>599</v>
      </c>
      <c r="D60" s="70">
        <f>VLOOKUP(Table1[[#This Row],[TÊN VẬT TƯ]],[1]pm!$B$3:$F$257,5,0)</f>
        <v>41667</v>
      </c>
      <c r="E60" s="64"/>
      <c r="F60" s="374"/>
    </row>
    <row r="61" spans="1:6" ht="16.5" x14ac:dyDescent="0.25">
      <c r="A61" s="365">
        <v>24</v>
      </c>
      <c r="B61" s="366" t="s">
        <v>312</v>
      </c>
      <c r="C61" s="368" t="s">
        <v>313</v>
      </c>
      <c r="D61" s="70">
        <f>VLOOKUP(Table1[[#This Row],[TÊN VẬT TƯ]],[1]pm!$B$3:$F$257,5,0)</f>
        <v>25000</v>
      </c>
      <c r="E61" s="64"/>
      <c r="F61" s="374"/>
    </row>
    <row r="62" spans="1:6" ht="16.5" x14ac:dyDescent="0.25">
      <c r="A62" s="365">
        <v>25</v>
      </c>
      <c r="B62" s="366" t="s">
        <v>314</v>
      </c>
      <c r="C62" s="368" t="s">
        <v>315</v>
      </c>
      <c r="D62" s="70">
        <f>VLOOKUP(Table1[[#This Row],[TÊN VẬT TƯ]],[1]pm!$B$3:$F$257,5,0)</f>
        <v>5000</v>
      </c>
      <c r="E62" s="64"/>
      <c r="F62" s="374"/>
    </row>
    <row r="63" spans="1:6" ht="16.5" x14ac:dyDescent="0.25">
      <c r="A63" s="365">
        <v>26</v>
      </c>
      <c r="B63" s="366" t="s">
        <v>105</v>
      </c>
      <c r="C63" s="368" t="s">
        <v>104</v>
      </c>
      <c r="D63" s="70">
        <f>VLOOKUP(Table1[[#This Row],[TÊN VẬT TƯ]],[1]pm!$B$3:$F$257,5,0)</f>
        <v>3500</v>
      </c>
      <c r="E63" s="64"/>
      <c r="F63" s="374"/>
    </row>
    <row r="64" spans="1:6" ht="16.5" x14ac:dyDescent="0.25">
      <c r="A64" s="365">
        <v>27</v>
      </c>
      <c r="B64" s="366" t="s">
        <v>103</v>
      </c>
      <c r="C64" s="368" t="s">
        <v>104</v>
      </c>
      <c r="D64" s="70">
        <f>VLOOKUP(Table1[[#This Row],[TÊN VẬT TƯ]],[1]pm!$B$3:$F$257,5,0)</f>
        <v>2600</v>
      </c>
      <c r="E64" s="64"/>
      <c r="F64" s="374"/>
    </row>
    <row r="65" spans="1:6" ht="16.5" x14ac:dyDescent="0.25">
      <c r="A65" s="365">
        <v>28</v>
      </c>
      <c r="B65" s="366" t="s">
        <v>108</v>
      </c>
      <c r="C65" s="368" t="s">
        <v>107</v>
      </c>
      <c r="D65" s="70">
        <f>VLOOKUP(Table1[[#This Row],[TÊN VẬT TƯ]],[1]pm!$B$3:$F$257,5,0)</f>
        <v>17000</v>
      </c>
      <c r="E65" s="64"/>
      <c r="F65" s="374"/>
    </row>
    <row r="66" spans="1:6" ht="16.5" x14ac:dyDescent="0.25">
      <c r="A66" s="365">
        <v>29</v>
      </c>
      <c r="B66" s="366" t="s">
        <v>544</v>
      </c>
      <c r="C66" s="368" t="s">
        <v>545</v>
      </c>
      <c r="D66" s="70">
        <f>VLOOKUP(Table1[[#This Row],[TÊN VẬT TƯ]],[1]pm!$B$3:$F$257,5,0)</f>
        <v>33000</v>
      </c>
      <c r="E66" s="64"/>
      <c r="F66" s="374"/>
    </row>
    <row r="67" spans="1:6" ht="16.5" x14ac:dyDescent="0.25">
      <c r="A67" s="63" t="s">
        <v>399</v>
      </c>
      <c r="B67" s="68" t="s">
        <v>471</v>
      </c>
      <c r="C67" s="68" t="s">
        <v>472</v>
      </c>
      <c r="D67" s="72">
        <v>1902</v>
      </c>
      <c r="E67" s="63"/>
      <c r="F67" s="374"/>
    </row>
    <row r="68" spans="1:6" x14ac:dyDescent="0.25">
      <c r="E68" s="24"/>
    </row>
    <row r="69" spans="1:6" x14ac:dyDescent="0.25">
      <c r="E69" s="24"/>
    </row>
    <row r="70" spans="1:6" x14ac:dyDescent="0.25">
      <c r="E70" s="24"/>
    </row>
    <row r="71" spans="1:6" x14ac:dyDescent="0.25">
      <c r="E71" s="24"/>
    </row>
    <row r="72" spans="1:6" x14ac:dyDescent="0.25">
      <c r="E72" s="24"/>
    </row>
    <row r="73" spans="1:6" x14ac:dyDescent="0.25">
      <c r="E73" s="24"/>
    </row>
    <row r="74" spans="1:6" x14ac:dyDescent="0.25">
      <c r="E74" s="24"/>
    </row>
    <row r="75" spans="1:6" x14ac:dyDescent="0.25">
      <c r="E75" s="24"/>
    </row>
    <row r="76" spans="1:6" x14ac:dyDescent="0.25">
      <c r="E76" s="24"/>
    </row>
    <row r="77" spans="1:6" x14ac:dyDescent="0.25">
      <c r="E77" s="24"/>
    </row>
    <row r="78" spans="1:6" x14ac:dyDescent="0.25">
      <c r="E78" s="24"/>
    </row>
    <row r="79" spans="1:6" x14ac:dyDescent="0.25">
      <c r="E79" s="24"/>
    </row>
    <row r="80" spans="1:6" x14ac:dyDescent="0.25">
      <c r="E80" s="24"/>
    </row>
    <row r="81" spans="5:5" x14ac:dyDescent="0.25">
      <c r="E81" s="24"/>
    </row>
    <row r="82" spans="5:5" x14ac:dyDescent="0.25">
      <c r="E82" s="24"/>
    </row>
    <row r="83" spans="5:5" x14ac:dyDescent="0.25">
      <c r="E83" s="24"/>
    </row>
    <row r="84" spans="5:5" x14ac:dyDescent="0.25">
      <c r="E84" s="24"/>
    </row>
    <row r="85" spans="5:5" x14ac:dyDescent="0.25">
      <c r="E85" s="24"/>
    </row>
    <row r="86" spans="5:5" x14ac:dyDescent="0.25">
      <c r="E86" s="24"/>
    </row>
    <row r="87" spans="5:5" x14ac:dyDescent="0.25">
      <c r="E87" s="24"/>
    </row>
    <row r="88" spans="5:5" x14ac:dyDescent="0.25">
      <c r="E88" s="24"/>
    </row>
    <row r="89" spans="5:5" x14ac:dyDescent="0.25">
      <c r="E89" s="24"/>
    </row>
    <row r="90" spans="5:5" x14ac:dyDescent="0.25">
      <c r="E90" s="24"/>
    </row>
    <row r="91" spans="5:5" x14ac:dyDescent="0.25">
      <c r="E91" s="24"/>
    </row>
    <row r="92" spans="5:5" x14ac:dyDescent="0.25">
      <c r="E92" s="24"/>
    </row>
    <row r="93" spans="5:5" x14ac:dyDescent="0.25">
      <c r="E93" s="24"/>
    </row>
    <row r="94" spans="5:5" x14ac:dyDescent="0.25">
      <c r="E94" s="24"/>
    </row>
    <row r="95" spans="5:5" x14ac:dyDescent="0.25">
      <c r="E95" s="24"/>
    </row>
    <row r="96" spans="5:5" x14ac:dyDescent="0.25">
      <c r="E96" s="24"/>
    </row>
    <row r="97" spans="5:5" x14ac:dyDescent="0.25">
      <c r="E97" s="24"/>
    </row>
    <row r="98" spans="5:5" x14ac:dyDescent="0.25">
      <c r="E98" s="24"/>
    </row>
    <row r="99" spans="5:5" x14ac:dyDescent="0.25">
      <c r="E99" s="24"/>
    </row>
    <row r="100" spans="5:5" x14ac:dyDescent="0.25">
      <c r="E100" s="24"/>
    </row>
    <row r="101" spans="5:5" x14ac:dyDescent="0.25">
      <c r="E101" s="24"/>
    </row>
    <row r="102" spans="5:5" x14ac:dyDescent="0.25">
      <c r="E102" s="24"/>
    </row>
    <row r="103" spans="5:5" x14ac:dyDescent="0.25">
      <c r="E103" s="24"/>
    </row>
    <row r="104" spans="5:5" x14ac:dyDescent="0.25">
      <c r="E104" s="24"/>
    </row>
    <row r="105" spans="5:5" x14ac:dyDescent="0.25">
      <c r="E105" s="24"/>
    </row>
    <row r="106" spans="5:5" x14ac:dyDescent="0.25">
      <c r="E106" s="24"/>
    </row>
    <row r="107" spans="5:5" x14ac:dyDescent="0.25">
      <c r="E107" s="24"/>
    </row>
    <row r="108" spans="5:5" x14ac:dyDescent="0.25">
      <c r="E108" s="24"/>
    </row>
    <row r="109" spans="5:5" x14ac:dyDescent="0.25">
      <c r="E109" s="24"/>
    </row>
    <row r="110" spans="5:5" x14ac:dyDescent="0.25">
      <c r="E110" s="24"/>
    </row>
    <row r="111" spans="5:5" x14ac:dyDescent="0.25">
      <c r="E111" s="24"/>
    </row>
    <row r="112" spans="5:5" x14ac:dyDescent="0.25">
      <c r="E112" s="24"/>
    </row>
    <row r="113" spans="5:5" x14ac:dyDescent="0.25">
      <c r="E113" s="24"/>
    </row>
    <row r="114" spans="5:5" x14ac:dyDescent="0.25">
      <c r="E114" s="24"/>
    </row>
    <row r="115" spans="5:5" x14ac:dyDescent="0.25">
      <c r="E115" s="24"/>
    </row>
    <row r="116" spans="5:5" x14ac:dyDescent="0.25">
      <c r="E116" s="24"/>
    </row>
    <row r="117" spans="5:5" x14ac:dyDescent="0.25">
      <c r="E117" s="24"/>
    </row>
    <row r="118" spans="5:5" x14ac:dyDescent="0.25">
      <c r="E118" s="24"/>
    </row>
    <row r="119" spans="5:5" x14ac:dyDescent="0.25">
      <c r="E119" s="24"/>
    </row>
    <row r="120" spans="5:5" x14ac:dyDescent="0.25">
      <c r="E120" s="24"/>
    </row>
    <row r="121" spans="5:5" x14ac:dyDescent="0.25">
      <c r="E121" s="24"/>
    </row>
    <row r="122" spans="5:5" x14ac:dyDescent="0.25">
      <c r="E122" s="24"/>
    </row>
    <row r="123" spans="5:5" x14ac:dyDescent="0.25">
      <c r="E123" s="24"/>
    </row>
    <row r="124" spans="5:5" x14ac:dyDescent="0.25">
      <c r="E124" s="24"/>
    </row>
    <row r="125" spans="5:5" x14ac:dyDescent="0.25">
      <c r="E125" s="24"/>
    </row>
    <row r="126" spans="5:5" x14ac:dyDescent="0.25">
      <c r="E126" s="24"/>
    </row>
    <row r="127" spans="5:5" x14ac:dyDescent="0.25">
      <c r="E127" s="24"/>
    </row>
    <row r="128" spans="5:5" x14ac:dyDescent="0.25">
      <c r="E128" s="24"/>
    </row>
    <row r="129" spans="5:5" x14ac:dyDescent="0.25">
      <c r="E129" s="24"/>
    </row>
    <row r="130" spans="5:5" x14ac:dyDescent="0.25">
      <c r="E130" s="24"/>
    </row>
    <row r="131" spans="5:5" x14ac:dyDescent="0.25">
      <c r="E131" s="24"/>
    </row>
    <row r="132" spans="5:5" x14ac:dyDescent="0.25">
      <c r="E132" s="24"/>
    </row>
    <row r="133" spans="5:5" x14ac:dyDescent="0.25">
      <c r="E133" s="24"/>
    </row>
    <row r="134" spans="5:5" x14ac:dyDescent="0.25">
      <c r="E134" s="24"/>
    </row>
    <row r="135" spans="5:5" x14ac:dyDescent="0.25">
      <c r="E135" s="24"/>
    </row>
    <row r="136" spans="5:5" x14ac:dyDescent="0.25">
      <c r="E136" s="24"/>
    </row>
    <row r="137" spans="5:5" x14ac:dyDescent="0.25">
      <c r="E137" s="24"/>
    </row>
    <row r="138" spans="5:5" x14ac:dyDescent="0.25">
      <c r="E138" s="24"/>
    </row>
    <row r="139" spans="5:5" x14ac:dyDescent="0.25">
      <c r="E139" s="24"/>
    </row>
    <row r="140" spans="5:5" x14ac:dyDescent="0.25">
      <c r="E140" s="24"/>
    </row>
    <row r="141" spans="5:5" x14ac:dyDescent="0.25">
      <c r="E141" s="24"/>
    </row>
    <row r="142" spans="5:5" x14ac:dyDescent="0.25">
      <c r="E142" s="24"/>
    </row>
    <row r="143" spans="5:5" x14ac:dyDescent="0.25">
      <c r="E143" s="24"/>
    </row>
    <row r="144" spans="5:5" x14ac:dyDescent="0.25">
      <c r="E144" s="24"/>
    </row>
    <row r="145" spans="5:5" x14ac:dyDescent="0.25">
      <c r="E145" s="24"/>
    </row>
    <row r="146" spans="5:5" x14ac:dyDescent="0.25">
      <c r="E146" s="24"/>
    </row>
    <row r="147" spans="5:5" x14ac:dyDescent="0.25">
      <c r="E147" s="24"/>
    </row>
    <row r="148" spans="5:5" x14ac:dyDescent="0.25">
      <c r="E148" s="24"/>
    </row>
    <row r="149" spans="5:5" x14ac:dyDescent="0.25">
      <c r="E149" s="24"/>
    </row>
    <row r="150" spans="5:5" x14ac:dyDescent="0.25">
      <c r="E150" s="24"/>
    </row>
    <row r="151" spans="5:5" x14ac:dyDescent="0.25">
      <c r="E151" s="24"/>
    </row>
    <row r="152" spans="5:5" x14ac:dyDescent="0.25">
      <c r="E152" s="24"/>
    </row>
    <row r="153" spans="5:5" x14ac:dyDescent="0.25">
      <c r="E153" s="24"/>
    </row>
    <row r="154" spans="5:5" x14ac:dyDescent="0.25">
      <c r="E154" s="24"/>
    </row>
    <row r="155" spans="5:5" x14ac:dyDescent="0.25">
      <c r="E155" s="24"/>
    </row>
    <row r="156" spans="5:5" x14ac:dyDescent="0.25">
      <c r="E156" s="24"/>
    </row>
    <row r="157" spans="5:5" x14ac:dyDescent="0.25">
      <c r="E157" s="24"/>
    </row>
    <row r="158" spans="5:5" x14ac:dyDescent="0.25">
      <c r="E158" s="24"/>
    </row>
    <row r="159" spans="5:5" x14ac:dyDescent="0.25">
      <c r="E159" s="24"/>
    </row>
    <row r="160" spans="5:5" x14ac:dyDescent="0.25">
      <c r="E160" s="24"/>
    </row>
    <row r="161" spans="5:5" x14ac:dyDescent="0.25">
      <c r="E161" s="24"/>
    </row>
    <row r="162" spans="5:5" x14ac:dyDescent="0.25">
      <c r="E162" s="24"/>
    </row>
    <row r="163" spans="5:5" x14ac:dyDescent="0.25">
      <c r="E163" s="24"/>
    </row>
    <row r="164" spans="5:5" x14ac:dyDescent="0.25">
      <c r="E164" s="24"/>
    </row>
    <row r="165" spans="5:5" x14ac:dyDescent="0.25">
      <c r="E165" s="24"/>
    </row>
    <row r="166" spans="5:5" x14ac:dyDescent="0.25">
      <c r="E166" s="24"/>
    </row>
    <row r="167" spans="5:5" x14ac:dyDescent="0.25">
      <c r="E167" s="24"/>
    </row>
    <row r="168" spans="5:5" x14ac:dyDescent="0.25">
      <c r="E168" s="24"/>
    </row>
    <row r="169" spans="5:5" x14ac:dyDescent="0.25">
      <c r="E169" s="24"/>
    </row>
    <row r="170" spans="5:5" x14ac:dyDescent="0.25">
      <c r="E170" s="24"/>
    </row>
    <row r="171" spans="5:5" x14ac:dyDescent="0.25">
      <c r="E171" s="24"/>
    </row>
    <row r="172" spans="5:5" x14ac:dyDescent="0.25">
      <c r="E172" s="24"/>
    </row>
    <row r="173" spans="5:5" x14ac:dyDescent="0.25">
      <c r="E173" s="24"/>
    </row>
    <row r="174" spans="5:5" x14ac:dyDescent="0.25">
      <c r="E174" s="24"/>
    </row>
    <row r="175" spans="5:5" x14ac:dyDescent="0.25">
      <c r="E175" s="24"/>
    </row>
    <row r="176" spans="5:5" x14ac:dyDescent="0.25">
      <c r="E176" s="24"/>
    </row>
    <row r="177" spans="5:5" x14ac:dyDescent="0.25">
      <c r="E177" s="24"/>
    </row>
    <row r="178" spans="5:5" x14ac:dyDescent="0.25">
      <c r="E178" s="24"/>
    </row>
    <row r="179" spans="5:5" x14ac:dyDescent="0.25">
      <c r="E179" s="24"/>
    </row>
    <row r="180" spans="5:5" x14ac:dyDescent="0.25">
      <c r="E180" s="24"/>
    </row>
    <row r="181" spans="5:5" x14ac:dyDescent="0.25">
      <c r="E181" s="24"/>
    </row>
    <row r="182" spans="5:5" x14ac:dyDescent="0.25">
      <c r="E182" s="24"/>
    </row>
    <row r="183" spans="5:5" x14ac:dyDescent="0.25">
      <c r="E183" s="24"/>
    </row>
    <row r="184" spans="5:5" x14ac:dyDescent="0.25">
      <c r="E184" s="24"/>
    </row>
    <row r="185" spans="5:5" x14ac:dyDescent="0.25">
      <c r="E185" s="24"/>
    </row>
    <row r="186" spans="5:5" x14ac:dyDescent="0.25">
      <c r="E186" s="24"/>
    </row>
    <row r="187" spans="5:5" x14ac:dyDescent="0.25">
      <c r="E187" s="24"/>
    </row>
    <row r="188" spans="5:5" x14ac:dyDescent="0.25">
      <c r="E188" s="24"/>
    </row>
    <row r="189" spans="5:5" x14ac:dyDescent="0.25">
      <c r="E189" s="24"/>
    </row>
    <row r="190" spans="5:5" x14ac:dyDescent="0.25">
      <c r="E190" s="24"/>
    </row>
    <row r="191" spans="5:5" x14ac:dyDescent="0.25">
      <c r="E191" s="24"/>
    </row>
    <row r="192" spans="5:5" x14ac:dyDescent="0.25">
      <c r="E192" s="24"/>
    </row>
    <row r="193" spans="5:5" x14ac:dyDescent="0.25">
      <c r="E193" s="24"/>
    </row>
    <row r="194" spans="5:5" x14ac:dyDescent="0.25">
      <c r="E194" s="24"/>
    </row>
    <row r="195" spans="5:5" x14ac:dyDescent="0.25">
      <c r="E195" s="24"/>
    </row>
    <row r="196" spans="5:5" x14ac:dyDescent="0.25">
      <c r="E196" s="24"/>
    </row>
    <row r="197" spans="5:5" x14ac:dyDescent="0.25">
      <c r="E197" s="24"/>
    </row>
    <row r="198" spans="5:5" x14ac:dyDescent="0.25">
      <c r="E198" s="24"/>
    </row>
    <row r="199" spans="5:5" x14ac:dyDescent="0.25">
      <c r="E199" s="24"/>
    </row>
    <row r="200" spans="5:5" x14ac:dyDescent="0.25">
      <c r="E200" s="24"/>
    </row>
    <row r="201" spans="5:5" x14ac:dyDescent="0.25">
      <c r="E201" s="24"/>
    </row>
    <row r="202" spans="5:5" x14ac:dyDescent="0.25">
      <c r="E202" s="24"/>
    </row>
    <row r="203" spans="5:5" x14ac:dyDescent="0.25">
      <c r="E203" s="24"/>
    </row>
    <row r="204" spans="5:5" x14ac:dyDescent="0.25">
      <c r="E204" s="24"/>
    </row>
    <row r="205" spans="5:5" x14ac:dyDescent="0.25">
      <c r="E205" s="24"/>
    </row>
    <row r="206" spans="5:5" x14ac:dyDescent="0.25">
      <c r="E206" s="24"/>
    </row>
    <row r="207" spans="5:5" x14ac:dyDescent="0.25">
      <c r="E207" s="24"/>
    </row>
    <row r="208" spans="5:5" x14ac:dyDescent="0.25">
      <c r="E208" s="24"/>
    </row>
    <row r="209" spans="5:5" x14ac:dyDescent="0.25">
      <c r="E209" s="24"/>
    </row>
    <row r="210" spans="5:5" x14ac:dyDescent="0.25">
      <c r="E210" s="24"/>
    </row>
    <row r="211" spans="5:5" x14ac:dyDescent="0.25">
      <c r="E211" s="24"/>
    </row>
    <row r="212" spans="5:5" x14ac:dyDescent="0.25">
      <c r="E212" s="24"/>
    </row>
    <row r="213" spans="5:5" x14ac:dyDescent="0.25">
      <c r="E213" s="24"/>
    </row>
    <row r="214" spans="5:5" x14ac:dyDescent="0.25">
      <c r="E214" s="24"/>
    </row>
    <row r="215" spans="5:5" x14ac:dyDescent="0.25">
      <c r="E215" s="24"/>
    </row>
    <row r="216" spans="5:5" x14ac:dyDescent="0.25">
      <c r="E216" s="24"/>
    </row>
    <row r="217" spans="5:5" x14ac:dyDescent="0.25">
      <c r="E217" s="24"/>
    </row>
    <row r="218" spans="5:5" x14ac:dyDescent="0.25">
      <c r="E218" s="24"/>
    </row>
    <row r="219" spans="5:5" x14ac:dyDescent="0.25">
      <c r="E219" s="24"/>
    </row>
    <row r="220" spans="5:5" x14ac:dyDescent="0.25">
      <c r="E220" s="24"/>
    </row>
    <row r="221" spans="5:5" x14ac:dyDescent="0.25">
      <c r="E221" s="24"/>
    </row>
    <row r="222" spans="5:5" x14ac:dyDescent="0.25">
      <c r="E222" s="24"/>
    </row>
    <row r="223" spans="5:5" x14ac:dyDescent="0.25">
      <c r="E223" s="24"/>
    </row>
    <row r="224" spans="5:5" x14ac:dyDescent="0.25">
      <c r="E224" s="24"/>
    </row>
    <row r="225" spans="5:5" x14ac:dyDescent="0.25">
      <c r="E225" s="24"/>
    </row>
    <row r="226" spans="5:5" x14ac:dyDescent="0.25">
      <c r="E226" s="24"/>
    </row>
    <row r="227" spans="5:5" x14ac:dyDescent="0.25">
      <c r="E227" s="24"/>
    </row>
    <row r="228" spans="5:5" x14ac:dyDescent="0.25">
      <c r="E228" s="24"/>
    </row>
    <row r="229" spans="5:5" x14ac:dyDescent="0.25">
      <c r="E229" s="24"/>
    </row>
    <row r="230" spans="5:5" x14ac:dyDescent="0.25">
      <c r="E230" s="24"/>
    </row>
    <row r="231" spans="5:5" x14ac:dyDescent="0.25">
      <c r="E231" s="24"/>
    </row>
    <row r="232" spans="5:5" x14ac:dyDescent="0.25">
      <c r="E232" s="24"/>
    </row>
    <row r="233" spans="5:5" x14ac:dyDescent="0.25">
      <c r="E233" s="24"/>
    </row>
    <row r="234" spans="5:5" x14ac:dyDescent="0.25">
      <c r="E234" s="24"/>
    </row>
    <row r="235" spans="5:5" x14ac:dyDescent="0.25">
      <c r="E235" s="24"/>
    </row>
    <row r="236" spans="5:5" x14ac:dyDescent="0.25">
      <c r="E236" s="24"/>
    </row>
    <row r="237" spans="5:5" x14ac:dyDescent="0.25">
      <c r="E237" s="24"/>
    </row>
    <row r="238" spans="5:5" x14ac:dyDescent="0.25">
      <c r="E238" s="24"/>
    </row>
    <row r="239" spans="5:5" x14ac:dyDescent="0.25">
      <c r="E239" s="24"/>
    </row>
    <row r="240" spans="5:5" x14ac:dyDescent="0.25">
      <c r="E240" s="24"/>
    </row>
    <row r="241" spans="5:5" x14ac:dyDescent="0.25">
      <c r="E241" s="24"/>
    </row>
    <row r="242" spans="5:5" x14ac:dyDescent="0.25">
      <c r="E242" s="24"/>
    </row>
    <row r="243" spans="5:5" x14ac:dyDescent="0.25">
      <c r="E243" s="24"/>
    </row>
    <row r="244" spans="5:5" x14ac:dyDescent="0.25">
      <c r="E244" s="24"/>
    </row>
    <row r="245" spans="5:5" x14ac:dyDescent="0.25">
      <c r="E245" s="24"/>
    </row>
    <row r="246" spans="5:5" x14ac:dyDescent="0.25">
      <c r="E246" s="24"/>
    </row>
    <row r="247" spans="5:5" x14ac:dyDescent="0.25">
      <c r="E247" s="24"/>
    </row>
    <row r="248" spans="5:5" x14ac:dyDescent="0.25">
      <c r="E248" s="24"/>
    </row>
    <row r="249" spans="5:5" x14ac:dyDescent="0.25">
      <c r="E249" s="24"/>
    </row>
    <row r="250" spans="5:5" x14ac:dyDescent="0.25">
      <c r="E250" s="24"/>
    </row>
    <row r="251" spans="5:5" x14ac:dyDescent="0.25">
      <c r="E251" s="24"/>
    </row>
  </sheetData>
  <mergeCells count="3">
    <mergeCell ref="A1:E1"/>
    <mergeCell ref="A2:E2"/>
    <mergeCell ref="A3:E3"/>
  </mergeCells>
  <pageMargins left="0.7" right="0.7" top="0.75" bottom="0.75" header="0.3" footer="0.3"/>
  <pageSetup paperSize="9"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K409"/>
  <sheetViews>
    <sheetView zoomScale="90" zoomScaleNormal="90" workbookViewId="0">
      <pane xSplit="2" ySplit="8" topLeftCell="C9" activePane="bottomRight" state="frozen"/>
      <selection pane="topRight" activeCell="C1" sqref="C1"/>
      <selection pane="bottomLeft" activeCell="A10" sqref="A10"/>
      <selection pane="bottomRight" activeCell="B14" sqref="B14"/>
    </sheetView>
  </sheetViews>
  <sheetFormatPr defaultRowHeight="15" x14ac:dyDescent="0.25"/>
  <cols>
    <col min="1" max="1" width="9.28515625" style="52" bestFit="1" customWidth="1"/>
    <col min="2" max="2" width="56.28515625" style="27" customWidth="1"/>
    <col min="3" max="3" width="25" style="52" bestFit="1" customWidth="1"/>
    <col min="4" max="4" width="13.28515625" style="52" customWidth="1"/>
    <col min="5" max="5" width="12.140625" style="52" customWidth="1"/>
    <col min="6" max="6" width="13.5703125" style="60" customWidth="1"/>
    <col min="7" max="7" width="18.42578125" style="52" customWidth="1"/>
    <col min="8" max="8" width="14.7109375" style="73" customWidth="1"/>
    <col min="9" max="9" width="13.42578125" style="164" customWidth="1"/>
    <col min="10" max="10" width="41.140625" style="61" customWidth="1"/>
    <col min="11" max="16384" width="9.140625" style="27"/>
  </cols>
  <sheetData>
    <row r="1" spans="1:10" ht="15.75" x14ac:dyDescent="0.25">
      <c r="A1" s="443" t="s">
        <v>189</v>
      </c>
      <c r="B1" s="443"/>
      <c r="C1" s="443"/>
      <c r="D1" s="443"/>
      <c r="E1" s="443"/>
      <c r="F1" s="443"/>
      <c r="G1" s="443"/>
      <c r="H1" s="452"/>
      <c r="I1" s="452"/>
      <c r="J1" s="443"/>
    </row>
    <row r="2" spans="1:10" ht="15.75" x14ac:dyDescent="0.25">
      <c r="A2" s="443" t="s">
        <v>55</v>
      </c>
      <c r="B2" s="443"/>
      <c r="C2" s="443"/>
      <c r="D2" s="443"/>
      <c r="E2" s="443"/>
      <c r="F2" s="443"/>
      <c r="G2" s="443"/>
      <c r="H2" s="452"/>
      <c r="I2" s="452"/>
      <c r="J2" s="443"/>
    </row>
    <row r="3" spans="1:10" ht="15.75" x14ac:dyDescent="0.25">
      <c r="A3" s="443" t="s">
        <v>194</v>
      </c>
      <c r="B3" s="443"/>
      <c r="C3" s="443"/>
      <c r="D3" s="443"/>
      <c r="E3" s="443"/>
      <c r="F3" s="443"/>
      <c r="G3" s="443"/>
      <c r="H3" s="452"/>
      <c r="I3" s="452"/>
      <c r="J3" s="443"/>
    </row>
    <row r="4" spans="1:10" ht="15.75" x14ac:dyDescent="0.25">
      <c r="A4" s="444" t="s">
        <v>664</v>
      </c>
      <c r="B4" s="444"/>
      <c r="C4" s="444"/>
      <c r="D4" s="444"/>
      <c r="E4" s="444"/>
      <c r="F4" s="444"/>
      <c r="G4" s="444"/>
      <c r="H4" s="453"/>
      <c r="I4" s="453"/>
      <c r="J4" s="444"/>
    </row>
    <row r="7" spans="1:10" ht="34.5" customHeight="1" x14ac:dyDescent="0.25">
      <c r="A7" s="245" t="s">
        <v>96</v>
      </c>
      <c r="B7" s="246" t="s">
        <v>642</v>
      </c>
      <c r="C7" s="246" t="s">
        <v>98</v>
      </c>
      <c r="D7" s="246" t="s">
        <v>191</v>
      </c>
      <c r="E7" s="246" t="s">
        <v>211</v>
      </c>
      <c r="F7" s="247" t="s">
        <v>212</v>
      </c>
      <c r="G7" s="247" t="s">
        <v>195</v>
      </c>
      <c r="H7" s="248" t="s">
        <v>602</v>
      </c>
      <c r="I7" s="249" t="s">
        <v>196</v>
      </c>
      <c r="J7" s="250" t="s">
        <v>53</v>
      </c>
    </row>
    <row r="8" spans="1:10" s="18" customFormat="1" ht="15.75" x14ac:dyDescent="0.25">
      <c r="A8" s="17" t="s">
        <v>11</v>
      </c>
      <c r="B8" s="17" t="s">
        <v>12</v>
      </c>
      <c r="C8" s="17" t="s">
        <v>13</v>
      </c>
      <c r="D8" s="47">
        <v>1</v>
      </c>
      <c r="E8" s="17">
        <v>2</v>
      </c>
      <c r="F8" s="17">
        <v>3</v>
      </c>
      <c r="G8" s="17">
        <v>4</v>
      </c>
      <c r="H8" s="17" t="s">
        <v>218</v>
      </c>
      <c r="I8" s="226" t="s">
        <v>213</v>
      </c>
      <c r="J8" s="215"/>
    </row>
    <row r="9" spans="1:10" s="18" customFormat="1" ht="15.75" x14ac:dyDescent="0.25">
      <c r="A9" s="133" t="s">
        <v>25</v>
      </c>
      <c r="B9" s="8" t="s">
        <v>83</v>
      </c>
      <c r="C9" s="17"/>
      <c r="D9" s="47"/>
      <c r="E9" s="17"/>
      <c r="F9" s="17"/>
      <c r="G9" s="17"/>
      <c r="H9" s="17"/>
      <c r="I9" s="226"/>
      <c r="J9" s="215"/>
    </row>
    <row r="10" spans="1:10" s="18" customFormat="1" ht="15.75" x14ac:dyDescent="0.25">
      <c r="A10" s="4" t="s">
        <v>114</v>
      </c>
      <c r="B10" s="143" t="s">
        <v>15</v>
      </c>
      <c r="C10" s="17"/>
      <c r="D10" s="47"/>
      <c r="E10" s="17"/>
      <c r="F10" s="17"/>
      <c r="G10" s="17"/>
      <c r="H10" s="17"/>
      <c r="I10" s="226"/>
      <c r="J10" s="215"/>
    </row>
    <row r="11" spans="1:10" ht="15.75" x14ac:dyDescent="0.25">
      <c r="A11" s="17" t="s">
        <v>115</v>
      </c>
      <c r="B11" s="251" t="s">
        <v>16</v>
      </c>
      <c r="C11" s="17" t="s">
        <v>322</v>
      </c>
      <c r="D11" s="47"/>
      <c r="E11" s="17"/>
      <c r="F11" s="17"/>
      <c r="G11" s="17"/>
      <c r="H11" s="253">
        <f>SUM(H12:H13)</f>
        <v>9204.545454545454</v>
      </c>
      <c r="I11" s="254">
        <f>SUM($I$12:$I$13)</f>
        <v>0.21852272727272729</v>
      </c>
      <c r="J11" s="215" t="s">
        <v>219</v>
      </c>
    </row>
    <row r="12" spans="1:10" ht="15.75" x14ac:dyDescent="0.25">
      <c r="A12" s="159" t="s">
        <v>89</v>
      </c>
      <c r="B12" s="225" t="s">
        <v>192</v>
      </c>
      <c r="C12" s="127" t="s">
        <v>107</v>
      </c>
      <c r="D12" s="127">
        <v>2.2000000000000002</v>
      </c>
      <c r="E12" s="127">
        <v>5.1E-5</v>
      </c>
      <c r="F12" s="5">
        <f>VLOOKUP(B12,Table1[[TÊN VẬT TƯ]:[THỜI HẠN]],4,0)</f>
        <v>8</v>
      </c>
      <c r="G12" s="227">
        <f>VLOOKUP(B12,Table1[[TÊN VẬT TƯ]:[THỜI HẠN]],3,0)</f>
        <v>15000000</v>
      </c>
      <c r="H12" s="228">
        <f>G12/F12/500</f>
        <v>3750</v>
      </c>
      <c r="I12" s="163">
        <f>H12*E12</f>
        <v>0.19125</v>
      </c>
      <c r="J12" s="215"/>
    </row>
    <row r="13" spans="1:10" ht="15.75" x14ac:dyDescent="0.25">
      <c r="A13" s="159" t="s">
        <v>89</v>
      </c>
      <c r="B13" s="225" t="s">
        <v>193</v>
      </c>
      <c r="C13" s="127" t="s">
        <v>107</v>
      </c>
      <c r="D13" s="127">
        <v>0.4</v>
      </c>
      <c r="E13" s="127">
        <v>5.0000000000000004E-6</v>
      </c>
      <c r="F13" s="5">
        <v>5</v>
      </c>
      <c r="G13" s="227">
        <f>VLOOKUP(B13,Table1[[TÊN VẬT TƯ]:[THỜI HẠN]],3,0)</f>
        <v>13636363.636363635</v>
      </c>
      <c r="H13" s="228">
        <f>G13/F13/500</f>
        <v>5454.545454545454</v>
      </c>
      <c r="I13" s="163">
        <f>H13*E13</f>
        <v>2.7272727272727271E-2</v>
      </c>
      <c r="J13" s="215"/>
    </row>
    <row r="14" spans="1:10" s="177" customFormat="1" ht="38.25" x14ac:dyDescent="0.25">
      <c r="A14" s="17" t="s">
        <v>116</v>
      </c>
      <c r="B14" s="251" t="s">
        <v>17</v>
      </c>
      <c r="C14" s="47"/>
      <c r="D14" s="47"/>
      <c r="E14" s="47"/>
      <c r="F14" s="17"/>
      <c r="G14" s="47"/>
      <c r="H14" s="47"/>
      <c r="I14" s="226"/>
      <c r="J14" s="230" t="s">
        <v>444</v>
      </c>
    </row>
    <row r="15" spans="1:10" s="161" customFormat="1" ht="15.75" x14ac:dyDescent="0.25">
      <c r="A15" s="232" t="s">
        <v>228</v>
      </c>
      <c r="B15" s="278" t="s">
        <v>413</v>
      </c>
      <c r="C15" s="231"/>
      <c r="D15" s="231"/>
      <c r="E15" s="231"/>
      <c r="F15" s="232"/>
      <c r="G15" s="231"/>
      <c r="H15" s="231"/>
      <c r="I15" s="322">
        <f>SUM(I16:I23)</f>
        <v>616.63418181818179</v>
      </c>
      <c r="J15" s="165"/>
    </row>
    <row r="16" spans="1:10" s="161" customFormat="1" ht="15.75" x14ac:dyDescent="0.25">
      <c r="A16" s="159" t="s">
        <v>89</v>
      </c>
      <c r="B16" s="48" t="s">
        <v>224</v>
      </c>
      <c r="C16" s="127" t="s">
        <v>322</v>
      </c>
      <c r="D16" s="127"/>
      <c r="E16" s="127"/>
      <c r="F16" s="5"/>
      <c r="G16" s="127"/>
      <c r="H16" s="127"/>
      <c r="I16" s="163">
        <f>VLOOKUP(THIETBI[[#This Row],[Danh mục thiết bị]],'THIETBI-TT26'!$B$21:$I$44,8,0)</f>
        <v>13.405090909090911</v>
      </c>
      <c r="J16" s="162"/>
    </row>
    <row r="17" spans="1:10" s="161" customFormat="1" ht="15.75" x14ac:dyDescent="0.25">
      <c r="A17" s="159" t="s">
        <v>89</v>
      </c>
      <c r="B17" s="48" t="s">
        <v>232</v>
      </c>
      <c r="C17" s="127" t="s">
        <v>323</v>
      </c>
      <c r="D17" s="127"/>
      <c r="E17" s="127"/>
      <c r="F17" s="5"/>
      <c r="G17" s="127"/>
      <c r="H17" s="127"/>
      <c r="I17" s="163">
        <f>VLOOKUP(THIETBI[[#This Row],[Danh mục thiết bị]],'THIETBI-TT26'!$B$21:$I$44,8,0)</f>
        <v>223.41818181818181</v>
      </c>
      <c r="J17" s="162"/>
    </row>
    <row r="18" spans="1:10" s="161" customFormat="1" ht="15.75" x14ac:dyDescent="0.25">
      <c r="A18" s="159" t="s">
        <v>89</v>
      </c>
      <c r="B18" s="48" t="s">
        <v>225</v>
      </c>
      <c r="C18" s="127" t="s">
        <v>322</v>
      </c>
      <c r="D18" s="127"/>
      <c r="E18" s="127"/>
      <c r="F18" s="5"/>
      <c r="G18" s="127"/>
      <c r="H18" s="127"/>
      <c r="I18" s="163">
        <f>VLOOKUP(THIETBI[[#This Row],[Danh mục thiết bị]],'THIETBI-TT26'!$B$21:$I$44,8,0)</f>
        <v>13.405090909090911</v>
      </c>
      <c r="J18" s="162"/>
    </row>
    <row r="19" spans="1:10" s="161" customFormat="1" ht="15.75" x14ac:dyDescent="0.25">
      <c r="A19" s="159" t="s">
        <v>89</v>
      </c>
      <c r="B19" s="48" t="s">
        <v>233</v>
      </c>
      <c r="C19" s="127" t="s">
        <v>323</v>
      </c>
      <c r="D19" s="127"/>
      <c r="E19" s="127"/>
      <c r="F19" s="5"/>
      <c r="G19" s="127"/>
      <c r="H19" s="127"/>
      <c r="I19" s="163">
        <f>VLOOKUP(THIETBI[[#This Row],[Danh mục thiết bị]],'THIETBI-TT26'!$B$21:$I$44,8,0)</f>
        <v>223.41818181818181</v>
      </c>
      <c r="J19" s="162"/>
    </row>
    <row r="20" spans="1:10" s="161" customFormat="1" ht="31.5" x14ac:dyDescent="0.25">
      <c r="A20" s="159" t="s">
        <v>89</v>
      </c>
      <c r="B20" s="48" t="s">
        <v>226</v>
      </c>
      <c r="C20" s="127" t="s">
        <v>322</v>
      </c>
      <c r="D20" s="127"/>
      <c r="E20" s="127"/>
      <c r="F20" s="5"/>
      <c r="G20" s="127"/>
      <c r="H20" s="127"/>
      <c r="I20" s="163">
        <f>VLOOKUP(THIETBI[[#This Row],[Danh mục thiết bị]],'THIETBI-TT26'!$B$21:$I$44,8,0)</f>
        <v>13.405090909090911</v>
      </c>
      <c r="J20" s="162"/>
    </row>
    <row r="21" spans="1:10" s="161" customFormat="1" ht="31.5" x14ac:dyDescent="0.25">
      <c r="A21" s="159" t="s">
        <v>89</v>
      </c>
      <c r="B21" s="48" t="s">
        <v>234</v>
      </c>
      <c r="C21" s="127" t="s">
        <v>323</v>
      </c>
      <c r="D21" s="127"/>
      <c r="E21" s="127"/>
      <c r="F21" s="5"/>
      <c r="G21" s="127"/>
      <c r="H21" s="127"/>
      <c r="I21" s="163">
        <f>VLOOKUP(THIETBI[[#This Row],[Danh mục thiết bị]],'THIETBI-TT26'!$B$21:$I$44,8,0)</f>
        <v>58.088727272727262</v>
      </c>
      <c r="J21" s="162"/>
    </row>
    <row r="22" spans="1:10" ht="15.75" x14ac:dyDescent="0.25">
      <c r="A22" s="159" t="s">
        <v>89</v>
      </c>
      <c r="B22" s="48" t="s">
        <v>612</v>
      </c>
      <c r="C22" s="127" t="s">
        <v>322</v>
      </c>
      <c r="D22" s="127"/>
      <c r="E22" s="127"/>
      <c r="F22" s="5"/>
      <c r="G22" s="127"/>
      <c r="H22" s="127"/>
      <c r="I22" s="376">
        <f>VLOOKUP(THIETBI[[#This Row],[Danh mục thiết bị]],'THIETBI-TT26'!$B$21:$I$44,8,0)</f>
        <v>13.405090909090911</v>
      </c>
      <c r="J22" s="162"/>
    </row>
    <row r="23" spans="1:10" s="59" customFormat="1" ht="31.5" x14ac:dyDescent="0.25">
      <c r="A23" s="159" t="s">
        <v>89</v>
      </c>
      <c r="B23" s="48" t="s">
        <v>227</v>
      </c>
      <c r="C23" s="127" t="s">
        <v>323</v>
      </c>
      <c r="D23" s="127"/>
      <c r="E23" s="127"/>
      <c r="F23" s="5"/>
      <c r="G23" s="127"/>
      <c r="H23" s="127"/>
      <c r="I23" s="163">
        <f>VLOOKUP(THIETBI[[#This Row],[Danh mục thiết bị]],'THIETBI-TT26'!$B$21:$I$44,8,0)</f>
        <v>58.088727272727262</v>
      </c>
      <c r="J23" s="162"/>
    </row>
    <row r="24" spans="1:10" ht="15.75" x14ac:dyDescent="0.25">
      <c r="A24" s="232" t="s">
        <v>229</v>
      </c>
      <c r="B24" s="278" t="s">
        <v>414</v>
      </c>
      <c r="C24" s="231"/>
      <c r="D24" s="231"/>
      <c r="E24" s="231"/>
      <c r="F24" s="232"/>
      <c r="G24" s="231"/>
      <c r="H24" s="231"/>
      <c r="I24" s="322">
        <f>SUM(I25:I32)</f>
        <v>775.30909090909086</v>
      </c>
      <c r="J24" s="165"/>
    </row>
    <row r="25" spans="1:10" ht="15.75" x14ac:dyDescent="0.25">
      <c r="A25" s="159" t="s">
        <v>89</v>
      </c>
      <c r="B25" s="48" t="s">
        <v>224</v>
      </c>
      <c r="C25" s="127" t="s">
        <v>322</v>
      </c>
      <c r="D25" s="127"/>
      <c r="E25" s="127"/>
      <c r="F25" s="5"/>
      <c r="G25" s="127"/>
      <c r="H25" s="127"/>
      <c r="I25" s="163">
        <f>VLOOKUP(THIETBI[[#This Row],[Danh mục thiết bị]],'THIETBI-TT26'!$B$46:$I$67,8,0)</f>
        <v>16.854545454545455</v>
      </c>
      <c r="J25" s="162"/>
    </row>
    <row r="26" spans="1:10" ht="15.75" x14ac:dyDescent="0.25">
      <c r="A26" s="159" t="s">
        <v>89</v>
      </c>
      <c r="B26" s="48" t="s">
        <v>232</v>
      </c>
      <c r="C26" s="127" t="s">
        <v>323</v>
      </c>
      <c r="D26" s="127"/>
      <c r="E26" s="127"/>
      <c r="F26" s="5"/>
      <c r="G26" s="127"/>
      <c r="H26" s="127"/>
      <c r="I26" s="163">
        <f>VLOOKUP(THIETBI[[#This Row],[Danh mục thiết bị]],'THIETBI-TT26'!$B$46:$I$67,8,0)</f>
        <v>280.90909090909088</v>
      </c>
      <c r="J26" s="162"/>
    </row>
    <row r="27" spans="1:10" ht="15.75" x14ac:dyDescent="0.25">
      <c r="A27" s="159" t="s">
        <v>89</v>
      </c>
      <c r="B27" s="48" t="s">
        <v>225</v>
      </c>
      <c r="C27" s="127" t="s">
        <v>322</v>
      </c>
      <c r="D27" s="127"/>
      <c r="E27" s="127"/>
      <c r="F27" s="5"/>
      <c r="G27" s="127"/>
      <c r="H27" s="127"/>
      <c r="I27" s="163">
        <f>VLOOKUP(THIETBI[[#This Row],[Danh mục thiết bị]],'THIETBI-TT26'!$B$46:$I$67,8,0)</f>
        <v>16.854545454545455</v>
      </c>
      <c r="J27" s="162"/>
    </row>
    <row r="28" spans="1:10" ht="15.75" x14ac:dyDescent="0.25">
      <c r="A28" s="159" t="s">
        <v>89</v>
      </c>
      <c r="B28" s="48" t="s">
        <v>233</v>
      </c>
      <c r="C28" s="127" t="s">
        <v>323</v>
      </c>
      <c r="D28" s="127"/>
      <c r="E28" s="127"/>
      <c r="F28" s="5"/>
      <c r="G28" s="127"/>
      <c r="H28" s="127"/>
      <c r="I28" s="163">
        <f>VLOOKUP(THIETBI[[#This Row],[Danh mục thiết bị]],'THIETBI-TT26'!$B$46:$I$67,8,0)</f>
        <v>280.90909090909088</v>
      </c>
      <c r="J28" s="162"/>
    </row>
    <row r="29" spans="1:10" ht="31.5" x14ac:dyDescent="0.25">
      <c r="A29" s="159" t="s">
        <v>89</v>
      </c>
      <c r="B29" s="48" t="s">
        <v>226</v>
      </c>
      <c r="C29" s="127" t="s">
        <v>322</v>
      </c>
      <c r="D29" s="127"/>
      <c r="E29" s="127"/>
      <c r="F29" s="5"/>
      <c r="G29" s="127"/>
      <c r="H29" s="127"/>
      <c r="I29" s="163">
        <f>VLOOKUP(THIETBI[[#This Row],[Danh mục thiết bị]],'THIETBI-TT26'!$B$46:$I$67,8,0)</f>
        <v>16.854545454545455</v>
      </c>
      <c r="J29" s="162"/>
    </row>
    <row r="30" spans="1:10" ht="31.5" x14ac:dyDescent="0.25">
      <c r="A30" s="159" t="s">
        <v>89</v>
      </c>
      <c r="B30" s="48" t="s">
        <v>234</v>
      </c>
      <c r="C30" s="127" t="s">
        <v>323</v>
      </c>
      <c r="D30" s="127"/>
      <c r="E30" s="127"/>
      <c r="F30" s="5"/>
      <c r="G30" s="127"/>
      <c r="H30" s="127"/>
      <c r="I30" s="163">
        <f>VLOOKUP(THIETBI[[#This Row],[Danh mục thiết bị]],'THIETBI-TT26'!$B$46:$I$67,8,0)</f>
        <v>73.036363636363618</v>
      </c>
      <c r="J30" s="162"/>
    </row>
    <row r="31" spans="1:10" ht="15.75" x14ac:dyDescent="0.25">
      <c r="A31" s="159" t="s">
        <v>89</v>
      </c>
      <c r="B31" s="48" t="s">
        <v>612</v>
      </c>
      <c r="C31" s="127" t="s">
        <v>322</v>
      </c>
      <c r="D31" s="127"/>
      <c r="E31" s="127"/>
      <c r="F31" s="5"/>
      <c r="G31" s="127"/>
      <c r="H31" s="127"/>
      <c r="I31" s="376">
        <f>VLOOKUP(THIETBI[[#This Row],[Danh mục thiết bị]],'THIETBI-TT26'!$B$46:$I$67,8,0)</f>
        <v>16.854545454545455</v>
      </c>
      <c r="J31" s="162"/>
    </row>
    <row r="32" spans="1:10" s="59" customFormat="1" ht="31.5" x14ac:dyDescent="0.25">
      <c r="A32" s="159" t="s">
        <v>89</v>
      </c>
      <c r="B32" s="48" t="s">
        <v>227</v>
      </c>
      <c r="C32" s="127" t="s">
        <v>323</v>
      </c>
      <c r="D32" s="127"/>
      <c r="E32" s="127"/>
      <c r="F32" s="5"/>
      <c r="G32" s="127"/>
      <c r="H32" s="127"/>
      <c r="I32" s="163">
        <f>VLOOKUP(THIETBI[[#This Row],[Danh mục thiết bị]],'THIETBI-TT26'!$B$46:$I$67,8,0)</f>
        <v>73.036363636363618</v>
      </c>
      <c r="J32" s="162"/>
    </row>
    <row r="33" spans="1:10" ht="15.75" x14ac:dyDescent="0.25">
      <c r="A33" s="232" t="s">
        <v>230</v>
      </c>
      <c r="B33" s="278" t="s">
        <v>415</v>
      </c>
      <c r="C33" s="231"/>
      <c r="D33" s="231"/>
      <c r="E33" s="231"/>
      <c r="F33" s="232"/>
      <c r="G33" s="231"/>
      <c r="H33" s="231"/>
      <c r="I33" s="322">
        <f>SUM(I34:I41)</f>
        <v>1016.7087272727271</v>
      </c>
      <c r="J33" s="165"/>
    </row>
    <row r="34" spans="1:10" ht="15.75" x14ac:dyDescent="0.25">
      <c r="A34" s="159" t="s">
        <v>89</v>
      </c>
      <c r="B34" s="48" t="s">
        <v>224</v>
      </c>
      <c r="C34" s="127" t="s">
        <v>322</v>
      </c>
      <c r="D34" s="127"/>
      <c r="E34" s="127"/>
      <c r="F34" s="5"/>
      <c r="G34" s="127"/>
      <c r="H34" s="127"/>
      <c r="I34" s="163">
        <f>VLOOKUP(THIETBI[[#This Row],[Danh mục thiết bị]],'THIETBI-TT26'!$B$71:$I$92,8,0)</f>
        <v>22.102363636363638</v>
      </c>
      <c r="J34" s="162"/>
    </row>
    <row r="35" spans="1:10" ht="15.75" x14ac:dyDescent="0.25">
      <c r="A35" s="159" t="s">
        <v>89</v>
      </c>
      <c r="B35" s="48" t="s">
        <v>232</v>
      </c>
      <c r="C35" s="127" t="s">
        <v>323</v>
      </c>
      <c r="D35" s="127"/>
      <c r="E35" s="127"/>
      <c r="F35" s="5"/>
      <c r="G35" s="127"/>
      <c r="H35" s="127"/>
      <c r="I35" s="163">
        <f>VLOOKUP(THIETBI[[#This Row],[Danh mục thiết bị]],'THIETBI-TT26'!$B$71:$I$92,8,0)</f>
        <v>368.37272727272722</v>
      </c>
      <c r="J35" s="162"/>
    </row>
    <row r="36" spans="1:10" ht="15.75" x14ac:dyDescent="0.25">
      <c r="A36" s="159" t="s">
        <v>89</v>
      </c>
      <c r="B36" s="48" t="s">
        <v>225</v>
      </c>
      <c r="C36" s="127" t="s">
        <v>322</v>
      </c>
      <c r="D36" s="127"/>
      <c r="E36" s="127"/>
      <c r="F36" s="5"/>
      <c r="G36" s="127"/>
      <c r="H36" s="127"/>
      <c r="I36" s="163">
        <f>VLOOKUP(THIETBI[[#This Row],[Danh mục thiết bị]],'THIETBI-TT26'!$B$71:$I$92,8,0)</f>
        <v>22.102363636363638</v>
      </c>
      <c r="J36" s="162"/>
    </row>
    <row r="37" spans="1:10" ht="15.75" x14ac:dyDescent="0.25">
      <c r="A37" s="159" t="s">
        <v>89</v>
      </c>
      <c r="B37" s="48" t="s">
        <v>233</v>
      </c>
      <c r="C37" s="127" t="s">
        <v>323</v>
      </c>
      <c r="D37" s="127"/>
      <c r="E37" s="127"/>
      <c r="F37" s="5"/>
      <c r="G37" s="127"/>
      <c r="H37" s="127"/>
      <c r="I37" s="163">
        <f>VLOOKUP(THIETBI[[#This Row],[Danh mục thiết bị]],'THIETBI-TT26'!$B$71:$I$92,8,0)</f>
        <v>368.37272727272722</v>
      </c>
      <c r="J37" s="162"/>
    </row>
    <row r="38" spans="1:10" ht="31.5" x14ac:dyDescent="0.25">
      <c r="A38" s="159" t="s">
        <v>89</v>
      </c>
      <c r="B38" s="48" t="s">
        <v>226</v>
      </c>
      <c r="C38" s="127" t="s">
        <v>322</v>
      </c>
      <c r="D38" s="127"/>
      <c r="E38" s="127"/>
      <c r="F38" s="5"/>
      <c r="G38" s="127"/>
      <c r="H38" s="127"/>
      <c r="I38" s="163">
        <f>VLOOKUP(THIETBI[[#This Row],[Danh mục thiết bị]],'THIETBI-TT26'!$B$71:$I$92,8,0)</f>
        <v>22.102363636363638</v>
      </c>
      <c r="J38" s="162"/>
    </row>
    <row r="39" spans="1:10" ht="31.5" x14ac:dyDescent="0.25">
      <c r="A39" s="159" t="s">
        <v>89</v>
      </c>
      <c r="B39" s="48" t="s">
        <v>234</v>
      </c>
      <c r="C39" s="127" t="s">
        <v>323</v>
      </c>
      <c r="D39" s="127"/>
      <c r="E39" s="127"/>
      <c r="F39" s="5"/>
      <c r="G39" s="127"/>
      <c r="H39" s="127"/>
      <c r="I39" s="163">
        <f>VLOOKUP(THIETBI[[#This Row],[Danh mục thiết bị]],'THIETBI-TT26'!$B$71:$I$92,8,0)</f>
        <v>95.776909090909072</v>
      </c>
      <c r="J39" s="162"/>
    </row>
    <row r="40" spans="1:10" ht="15.75" x14ac:dyDescent="0.25">
      <c r="A40" s="159" t="s">
        <v>89</v>
      </c>
      <c r="B40" s="48" t="s">
        <v>612</v>
      </c>
      <c r="C40" s="127" t="s">
        <v>322</v>
      </c>
      <c r="D40" s="127"/>
      <c r="E40" s="127"/>
      <c r="F40" s="5"/>
      <c r="G40" s="127"/>
      <c r="H40" s="127"/>
      <c r="I40" s="376">
        <f>VLOOKUP(THIETBI[[#This Row],[Danh mục thiết bị]],'THIETBI-TT26'!$B$71:$I$92,8,0)</f>
        <v>22.102363636363638</v>
      </c>
      <c r="J40" s="162"/>
    </row>
    <row r="41" spans="1:10" ht="31.5" x14ac:dyDescent="0.25">
      <c r="A41" s="159" t="s">
        <v>89</v>
      </c>
      <c r="B41" s="48" t="s">
        <v>227</v>
      </c>
      <c r="C41" s="127" t="s">
        <v>323</v>
      </c>
      <c r="D41" s="127"/>
      <c r="E41" s="127"/>
      <c r="F41" s="5"/>
      <c r="G41" s="127"/>
      <c r="H41" s="127"/>
      <c r="I41" s="163">
        <f>VLOOKUP(THIETBI[[#This Row],[Danh mục thiết bị]],'THIETBI-TT26'!$B$71:$I$92,8,0)</f>
        <v>95.776909090909072</v>
      </c>
      <c r="J41" s="162"/>
    </row>
    <row r="42" spans="1:10" s="59" customFormat="1" ht="38.25" x14ac:dyDescent="0.25">
      <c r="A42" s="17" t="s">
        <v>117</v>
      </c>
      <c r="B42" s="251" t="s">
        <v>18</v>
      </c>
      <c r="C42" s="47"/>
      <c r="D42" s="47"/>
      <c r="E42" s="47"/>
      <c r="F42" s="17"/>
      <c r="G42" s="47"/>
      <c r="H42" s="47"/>
      <c r="I42" s="226"/>
      <c r="J42" s="230" t="s">
        <v>444</v>
      </c>
    </row>
    <row r="43" spans="1:10" ht="15.75" x14ac:dyDescent="0.25">
      <c r="A43" s="232" t="s">
        <v>228</v>
      </c>
      <c r="B43" s="278" t="s">
        <v>413</v>
      </c>
      <c r="C43" s="231"/>
      <c r="D43" s="231"/>
      <c r="E43" s="231"/>
      <c r="F43" s="232"/>
      <c r="G43" s="231"/>
      <c r="H43" s="231"/>
      <c r="I43" s="322">
        <f>SUM(I44:I51)</f>
        <v>616.63418181818179</v>
      </c>
      <c r="J43" s="165"/>
    </row>
    <row r="44" spans="1:10" ht="15.75" x14ac:dyDescent="0.25">
      <c r="A44" s="159" t="s">
        <v>89</v>
      </c>
      <c r="B44" s="48" t="s">
        <v>224</v>
      </c>
      <c r="C44" s="127" t="s">
        <v>322</v>
      </c>
      <c r="D44" s="127"/>
      <c r="E44" s="127"/>
      <c r="F44" s="5"/>
      <c r="G44" s="127"/>
      <c r="H44" s="127"/>
      <c r="I44" s="163">
        <f>VLOOKUP(THIETBI[[#This Row],[Danh mục thiết bị]],'THIETBI-TT26'!$B$21:$I$44,8,0)</f>
        <v>13.405090909090911</v>
      </c>
      <c r="J44" s="162"/>
    </row>
    <row r="45" spans="1:10" ht="15.75" x14ac:dyDescent="0.25">
      <c r="A45" s="159" t="s">
        <v>89</v>
      </c>
      <c r="B45" s="48" t="s">
        <v>232</v>
      </c>
      <c r="C45" s="127" t="s">
        <v>323</v>
      </c>
      <c r="D45" s="127"/>
      <c r="E45" s="127"/>
      <c r="F45" s="5"/>
      <c r="G45" s="127"/>
      <c r="H45" s="127"/>
      <c r="I45" s="163">
        <f>VLOOKUP(THIETBI[[#This Row],[Danh mục thiết bị]],'THIETBI-TT26'!$B$21:$I$44,8,0)</f>
        <v>223.41818181818181</v>
      </c>
      <c r="J45" s="162"/>
    </row>
    <row r="46" spans="1:10" ht="15.75" x14ac:dyDescent="0.25">
      <c r="A46" s="159" t="s">
        <v>89</v>
      </c>
      <c r="B46" s="48" t="s">
        <v>225</v>
      </c>
      <c r="C46" s="127" t="s">
        <v>322</v>
      </c>
      <c r="D46" s="127"/>
      <c r="E46" s="127"/>
      <c r="F46" s="5"/>
      <c r="G46" s="127"/>
      <c r="H46" s="127"/>
      <c r="I46" s="163">
        <f>VLOOKUP(THIETBI[[#This Row],[Danh mục thiết bị]],'THIETBI-TT26'!$B$21:$I$44,8,0)</f>
        <v>13.405090909090911</v>
      </c>
      <c r="J46" s="162"/>
    </row>
    <row r="47" spans="1:10" ht="15.75" x14ac:dyDescent="0.25">
      <c r="A47" s="159" t="s">
        <v>89</v>
      </c>
      <c r="B47" s="48" t="s">
        <v>233</v>
      </c>
      <c r="C47" s="127" t="s">
        <v>323</v>
      </c>
      <c r="D47" s="127"/>
      <c r="E47" s="127"/>
      <c r="F47" s="5"/>
      <c r="G47" s="127"/>
      <c r="H47" s="127"/>
      <c r="I47" s="163">
        <f>VLOOKUP(THIETBI[[#This Row],[Danh mục thiết bị]],'THIETBI-TT26'!$B$21:$I$44,8,0)</f>
        <v>223.41818181818181</v>
      </c>
      <c r="J47" s="162"/>
    </row>
    <row r="48" spans="1:10" ht="31.5" x14ac:dyDescent="0.25">
      <c r="A48" s="159" t="s">
        <v>89</v>
      </c>
      <c r="B48" s="48" t="s">
        <v>226</v>
      </c>
      <c r="C48" s="127" t="s">
        <v>322</v>
      </c>
      <c r="D48" s="127"/>
      <c r="E48" s="127"/>
      <c r="F48" s="5"/>
      <c r="G48" s="127"/>
      <c r="H48" s="127"/>
      <c r="I48" s="163">
        <f>VLOOKUP(THIETBI[[#This Row],[Danh mục thiết bị]],'THIETBI-TT26'!$B$21:$I$44,8,0)</f>
        <v>13.405090909090911</v>
      </c>
      <c r="J48" s="162"/>
    </row>
    <row r="49" spans="1:10" ht="31.5" x14ac:dyDescent="0.25">
      <c r="A49" s="159" t="s">
        <v>89</v>
      </c>
      <c r="B49" s="48" t="s">
        <v>234</v>
      </c>
      <c r="C49" s="127" t="s">
        <v>323</v>
      </c>
      <c r="D49" s="127"/>
      <c r="E49" s="127"/>
      <c r="F49" s="5"/>
      <c r="G49" s="127"/>
      <c r="H49" s="127"/>
      <c r="I49" s="163">
        <f>VLOOKUP(THIETBI[[#This Row],[Danh mục thiết bị]],'THIETBI-TT26'!$B$21:$I$44,8,0)</f>
        <v>58.088727272727262</v>
      </c>
      <c r="J49" s="162"/>
    </row>
    <row r="50" spans="1:10" ht="15.75" x14ac:dyDescent="0.25">
      <c r="A50" s="159" t="s">
        <v>89</v>
      </c>
      <c r="B50" s="48" t="s">
        <v>612</v>
      </c>
      <c r="C50" s="127" t="s">
        <v>322</v>
      </c>
      <c r="D50" s="127"/>
      <c r="E50" s="127"/>
      <c r="F50" s="5"/>
      <c r="G50" s="127"/>
      <c r="H50" s="127"/>
      <c r="I50" s="376">
        <f>VLOOKUP(THIETBI[[#This Row],[Danh mục thiết bị]],'THIETBI-TT26'!$B$21:$I$44,8,0)</f>
        <v>13.405090909090911</v>
      </c>
      <c r="J50" s="162"/>
    </row>
    <row r="51" spans="1:10" s="59" customFormat="1" ht="31.5" x14ac:dyDescent="0.25">
      <c r="A51" s="159" t="s">
        <v>89</v>
      </c>
      <c r="B51" s="48" t="s">
        <v>227</v>
      </c>
      <c r="C51" s="127" t="s">
        <v>323</v>
      </c>
      <c r="D51" s="127"/>
      <c r="E51" s="127"/>
      <c r="F51" s="5"/>
      <c r="G51" s="127"/>
      <c r="H51" s="127"/>
      <c r="I51" s="163">
        <f>VLOOKUP(THIETBI[[#This Row],[Danh mục thiết bị]],'THIETBI-TT26'!$B$21:$I$44,8,0)</f>
        <v>58.088727272727262</v>
      </c>
      <c r="J51" s="162"/>
    </row>
    <row r="52" spans="1:10" ht="15.75" x14ac:dyDescent="0.25">
      <c r="A52" s="232" t="s">
        <v>229</v>
      </c>
      <c r="B52" s="278" t="s">
        <v>414</v>
      </c>
      <c r="C52" s="231"/>
      <c r="D52" s="231"/>
      <c r="E52" s="231"/>
      <c r="F52" s="232"/>
      <c r="G52" s="231"/>
      <c r="H52" s="231"/>
      <c r="I52" s="322">
        <f>SUM(I53:I60)</f>
        <v>775.30909090909086</v>
      </c>
      <c r="J52" s="165"/>
    </row>
    <row r="53" spans="1:10" ht="15.75" x14ac:dyDescent="0.25">
      <c r="A53" s="159" t="s">
        <v>89</v>
      </c>
      <c r="B53" s="48" t="s">
        <v>224</v>
      </c>
      <c r="C53" s="127" t="s">
        <v>322</v>
      </c>
      <c r="D53" s="127"/>
      <c r="E53" s="127"/>
      <c r="F53" s="5"/>
      <c r="G53" s="127"/>
      <c r="H53" s="127"/>
      <c r="I53" s="163">
        <f>VLOOKUP(THIETBI[[#This Row],[Danh mục thiết bị]],'THIETBI-TT26'!$B$46:$I$67,8,0)</f>
        <v>16.854545454545455</v>
      </c>
      <c r="J53" s="162"/>
    </row>
    <row r="54" spans="1:10" ht="15.75" x14ac:dyDescent="0.25">
      <c r="A54" s="159" t="s">
        <v>89</v>
      </c>
      <c r="B54" s="48" t="s">
        <v>232</v>
      </c>
      <c r="C54" s="127" t="s">
        <v>323</v>
      </c>
      <c r="D54" s="127"/>
      <c r="E54" s="127"/>
      <c r="F54" s="5"/>
      <c r="G54" s="127"/>
      <c r="H54" s="127"/>
      <c r="I54" s="163">
        <f>VLOOKUP(THIETBI[[#This Row],[Danh mục thiết bị]],'THIETBI-TT26'!$B$46:$I$67,8,0)</f>
        <v>280.90909090909088</v>
      </c>
      <c r="J54" s="162"/>
    </row>
    <row r="55" spans="1:10" ht="15.75" x14ac:dyDescent="0.25">
      <c r="A55" s="159" t="s">
        <v>89</v>
      </c>
      <c r="B55" s="48" t="s">
        <v>225</v>
      </c>
      <c r="C55" s="127" t="s">
        <v>322</v>
      </c>
      <c r="D55" s="127"/>
      <c r="E55" s="127"/>
      <c r="F55" s="5"/>
      <c r="G55" s="127"/>
      <c r="H55" s="127"/>
      <c r="I55" s="163">
        <f>VLOOKUP(THIETBI[[#This Row],[Danh mục thiết bị]],'THIETBI-TT26'!$B$46:$I$67,8,0)</f>
        <v>16.854545454545455</v>
      </c>
      <c r="J55" s="162"/>
    </row>
    <row r="56" spans="1:10" ht="15.75" x14ac:dyDescent="0.25">
      <c r="A56" s="159" t="s">
        <v>89</v>
      </c>
      <c r="B56" s="48" t="s">
        <v>233</v>
      </c>
      <c r="C56" s="127" t="s">
        <v>323</v>
      </c>
      <c r="D56" s="127"/>
      <c r="E56" s="127"/>
      <c r="F56" s="5"/>
      <c r="G56" s="127"/>
      <c r="H56" s="127"/>
      <c r="I56" s="163">
        <f>VLOOKUP(THIETBI[[#This Row],[Danh mục thiết bị]],'THIETBI-TT26'!$B$46:$I$67,8,0)</f>
        <v>280.90909090909088</v>
      </c>
      <c r="J56" s="162"/>
    </row>
    <row r="57" spans="1:10" ht="31.5" x14ac:dyDescent="0.25">
      <c r="A57" s="159" t="s">
        <v>89</v>
      </c>
      <c r="B57" s="48" t="s">
        <v>226</v>
      </c>
      <c r="C57" s="127" t="s">
        <v>322</v>
      </c>
      <c r="D57" s="127"/>
      <c r="E57" s="127"/>
      <c r="F57" s="5"/>
      <c r="G57" s="127"/>
      <c r="H57" s="127"/>
      <c r="I57" s="163">
        <f>VLOOKUP(THIETBI[[#This Row],[Danh mục thiết bị]],'THIETBI-TT26'!$B$46:$I$67,8,0)</f>
        <v>16.854545454545455</v>
      </c>
      <c r="J57" s="162"/>
    </row>
    <row r="58" spans="1:10" ht="31.5" x14ac:dyDescent="0.25">
      <c r="A58" s="159" t="s">
        <v>89</v>
      </c>
      <c r="B58" s="48" t="s">
        <v>234</v>
      </c>
      <c r="C58" s="127" t="s">
        <v>323</v>
      </c>
      <c r="D58" s="127"/>
      <c r="E58" s="127"/>
      <c r="F58" s="5"/>
      <c r="G58" s="127"/>
      <c r="H58" s="127"/>
      <c r="I58" s="163">
        <f>VLOOKUP(THIETBI[[#This Row],[Danh mục thiết bị]],'THIETBI-TT26'!$B$46:$I$67,8,0)</f>
        <v>73.036363636363618</v>
      </c>
      <c r="J58" s="162"/>
    </row>
    <row r="59" spans="1:10" ht="15.75" x14ac:dyDescent="0.25">
      <c r="A59" s="159" t="s">
        <v>89</v>
      </c>
      <c r="B59" s="48" t="s">
        <v>612</v>
      </c>
      <c r="C59" s="127" t="s">
        <v>322</v>
      </c>
      <c r="D59" s="127"/>
      <c r="E59" s="127"/>
      <c r="F59" s="5"/>
      <c r="G59" s="127"/>
      <c r="H59" s="127"/>
      <c r="I59" s="376">
        <f>VLOOKUP(THIETBI[[#This Row],[Danh mục thiết bị]],'THIETBI-TT26'!$B$46:$I$67,8,0)</f>
        <v>16.854545454545455</v>
      </c>
      <c r="J59" s="162"/>
    </row>
    <row r="60" spans="1:10" s="59" customFormat="1" ht="31.5" x14ac:dyDescent="0.25">
      <c r="A60" s="159" t="s">
        <v>89</v>
      </c>
      <c r="B60" s="48" t="s">
        <v>227</v>
      </c>
      <c r="C60" s="127" t="s">
        <v>323</v>
      </c>
      <c r="D60" s="127"/>
      <c r="E60" s="127"/>
      <c r="F60" s="5"/>
      <c r="G60" s="127"/>
      <c r="H60" s="127"/>
      <c r="I60" s="163">
        <f>VLOOKUP(THIETBI[[#This Row],[Danh mục thiết bị]],'THIETBI-TT26'!$B$46:$I$67,8,0)</f>
        <v>73.036363636363618</v>
      </c>
      <c r="J60" s="162"/>
    </row>
    <row r="61" spans="1:10" ht="15.75" x14ac:dyDescent="0.25">
      <c r="A61" s="232" t="s">
        <v>230</v>
      </c>
      <c r="B61" s="278" t="s">
        <v>415</v>
      </c>
      <c r="C61" s="231"/>
      <c r="D61" s="231"/>
      <c r="E61" s="231"/>
      <c r="F61" s="232"/>
      <c r="G61" s="231"/>
      <c r="H61" s="231"/>
      <c r="I61" s="322">
        <f>SUM(I62:I69)</f>
        <v>1016.7087272727271</v>
      </c>
      <c r="J61" s="165"/>
    </row>
    <row r="62" spans="1:10" ht="15.75" x14ac:dyDescent="0.25">
      <c r="A62" s="159" t="s">
        <v>89</v>
      </c>
      <c r="B62" s="48" t="s">
        <v>224</v>
      </c>
      <c r="C62" s="127" t="s">
        <v>322</v>
      </c>
      <c r="D62" s="127"/>
      <c r="E62" s="127"/>
      <c r="F62" s="5"/>
      <c r="G62" s="127"/>
      <c r="H62" s="127"/>
      <c r="I62" s="163">
        <f>VLOOKUP(THIETBI[[#This Row],[Danh mục thiết bị]],'THIETBI-TT26'!$B$71:$I$92,8,0)</f>
        <v>22.102363636363638</v>
      </c>
      <c r="J62" s="162"/>
    </row>
    <row r="63" spans="1:10" ht="15.75" x14ac:dyDescent="0.25">
      <c r="A63" s="159" t="s">
        <v>89</v>
      </c>
      <c r="B63" s="48" t="s">
        <v>232</v>
      </c>
      <c r="C63" s="127" t="s">
        <v>323</v>
      </c>
      <c r="D63" s="127"/>
      <c r="E63" s="127"/>
      <c r="F63" s="5"/>
      <c r="G63" s="127"/>
      <c r="H63" s="127"/>
      <c r="I63" s="163">
        <f>VLOOKUP(THIETBI[[#This Row],[Danh mục thiết bị]],'THIETBI-TT26'!$B$71:$I$92,8,0)</f>
        <v>368.37272727272722</v>
      </c>
      <c r="J63" s="162"/>
    </row>
    <row r="64" spans="1:10" ht="15.75" x14ac:dyDescent="0.25">
      <c r="A64" s="159" t="s">
        <v>89</v>
      </c>
      <c r="B64" s="48" t="s">
        <v>225</v>
      </c>
      <c r="C64" s="127" t="s">
        <v>322</v>
      </c>
      <c r="D64" s="127"/>
      <c r="E64" s="127"/>
      <c r="F64" s="5"/>
      <c r="G64" s="127"/>
      <c r="H64" s="127"/>
      <c r="I64" s="163">
        <f>VLOOKUP(THIETBI[[#This Row],[Danh mục thiết bị]],'THIETBI-TT26'!$B$71:$I$92,8,0)</f>
        <v>22.102363636363638</v>
      </c>
      <c r="J64" s="162"/>
    </row>
    <row r="65" spans="1:10" ht="15.75" x14ac:dyDescent="0.25">
      <c r="A65" s="159" t="s">
        <v>89</v>
      </c>
      <c r="B65" s="48" t="s">
        <v>233</v>
      </c>
      <c r="C65" s="127" t="s">
        <v>323</v>
      </c>
      <c r="D65" s="127"/>
      <c r="E65" s="127"/>
      <c r="F65" s="5"/>
      <c r="G65" s="127"/>
      <c r="H65" s="127"/>
      <c r="I65" s="163">
        <f>VLOOKUP(THIETBI[[#This Row],[Danh mục thiết bị]],'THIETBI-TT26'!$B$71:$I$92,8,0)</f>
        <v>368.37272727272722</v>
      </c>
      <c r="J65" s="162"/>
    </row>
    <row r="66" spans="1:10" ht="31.5" x14ac:dyDescent="0.25">
      <c r="A66" s="159" t="s">
        <v>89</v>
      </c>
      <c r="B66" s="48" t="s">
        <v>226</v>
      </c>
      <c r="C66" s="127" t="s">
        <v>322</v>
      </c>
      <c r="D66" s="127"/>
      <c r="E66" s="127"/>
      <c r="F66" s="5"/>
      <c r="G66" s="127"/>
      <c r="H66" s="127"/>
      <c r="I66" s="163">
        <f>VLOOKUP(THIETBI[[#This Row],[Danh mục thiết bị]],'THIETBI-TT26'!$B$71:$I$92,8,0)</f>
        <v>22.102363636363638</v>
      </c>
      <c r="J66" s="162"/>
    </row>
    <row r="67" spans="1:10" ht="31.5" x14ac:dyDescent="0.25">
      <c r="A67" s="159" t="s">
        <v>89</v>
      </c>
      <c r="B67" s="48" t="s">
        <v>234</v>
      </c>
      <c r="C67" s="127" t="s">
        <v>323</v>
      </c>
      <c r="D67" s="127"/>
      <c r="E67" s="127"/>
      <c r="F67" s="5"/>
      <c r="G67" s="127"/>
      <c r="H67" s="127"/>
      <c r="I67" s="163">
        <f>VLOOKUP(THIETBI[[#This Row],[Danh mục thiết bị]],'THIETBI-TT26'!$B$71:$I$92,8,0)</f>
        <v>95.776909090909072</v>
      </c>
      <c r="J67" s="162"/>
    </row>
    <row r="68" spans="1:10" ht="15.75" x14ac:dyDescent="0.25">
      <c r="A68" s="159" t="s">
        <v>89</v>
      </c>
      <c r="B68" s="48" t="s">
        <v>613</v>
      </c>
      <c r="C68" s="127" t="s">
        <v>322</v>
      </c>
      <c r="D68" s="127"/>
      <c r="E68" s="127"/>
      <c r="F68" s="5"/>
      <c r="G68" s="127"/>
      <c r="H68" s="127"/>
      <c r="I68" s="376">
        <f>VLOOKUP(THIETBI[[#This Row],[Danh mục thiết bị]],'THIETBI-TT26'!$B$71:$I$92,8,0)</f>
        <v>22.102363636363638</v>
      </c>
      <c r="J68" s="162"/>
    </row>
    <row r="69" spans="1:10" ht="31.5" x14ac:dyDescent="0.25">
      <c r="A69" s="159" t="s">
        <v>89</v>
      </c>
      <c r="B69" s="48" t="s">
        <v>227</v>
      </c>
      <c r="C69" s="127" t="s">
        <v>323</v>
      </c>
      <c r="D69" s="127"/>
      <c r="E69" s="127"/>
      <c r="F69" s="5"/>
      <c r="G69" s="127"/>
      <c r="H69" s="127"/>
      <c r="I69" s="163">
        <f>VLOOKUP(THIETBI[[#This Row],[Danh mục thiết bị]],'THIETBI-TT26'!$B$71:$I$92,8,0)</f>
        <v>95.776909090909072</v>
      </c>
      <c r="J69" s="162"/>
    </row>
    <row r="70" spans="1:10" ht="31.5" x14ac:dyDescent="0.25">
      <c r="A70" s="17" t="s">
        <v>118</v>
      </c>
      <c r="B70" s="251" t="s">
        <v>19</v>
      </c>
      <c r="C70" s="47"/>
      <c r="D70" s="47"/>
      <c r="E70" s="47"/>
      <c r="F70" s="17"/>
      <c r="G70" s="47"/>
      <c r="H70" s="47"/>
      <c r="I70" s="226">
        <v>0</v>
      </c>
      <c r="J70" s="42" t="s">
        <v>54</v>
      </c>
    </row>
    <row r="71" spans="1:10" ht="15.75" x14ac:dyDescent="0.25">
      <c r="A71" s="4" t="s">
        <v>119</v>
      </c>
      <c r="B71" s="143" t="s">
        <v>20</v>
      </c>
      <c r="C71" s="127"/>
      <c r="D71" s="127"/>
      <c r="E71" s="127"/>
      <c r="F71" s="5"/>
      <c r="G71" s="127"/>
      <c r="H71" s="127"/>
      <c r="I71" s="163"/>
      <c r="J71" s="215"/>
    </row>
    <row r="72" spans="1:10" ht="15.75" x14ac:dyDescent="0.25">
      <c r="A72" s="236"/>
      <c r="B72" s="278" t="s">
        <v>492</v>
      </c>
      <c r="C72" s="223"/>
      <c r="D72" s="223"/>
      <c r="E72" s="223"/>
      <c r="F72" s="236"/>
      <c r="G72" s="223"/>
      <c r="H72" s="223"/>
      <c r="I72" s="322">
        <f>I73+I74+I78+I82</f>
        <v>1283.1136363636363</v>
      </c>
      <c r="J72" s="233" t="s">
        <v>495</v>
      </c>
    </row>
    <row r="73" spans="1:10" ht="15.75" x14ac:dyDescent="0.25">
      <c r="A73" s="17" t="s">
        <v>120</v>
      </c>
      <c r="B73" s="251" t="s">
        <v>21</v>
      </c>
      <c r="C73" s="47"/>
      <c r="D73" s="47"/>
      <c r="E73" s="47"/>
      <c r="F73" s="17"/>
      <c r="G73" s="47"/>
      <c r="H73" s="47"/>
      <c r="I73" s="226">
        <v>0</v>
      </c>
      <c r="J73" s="42" t="s">
        <v>54</v>
      </c>
    </row>
    <row r="74" spans="1:10" ht="15.75" x14ac:dyDescent="0.25">
      <c r="A74" s="17" t="s">
        <v>121</v>
      </c>
      <c r="B74" s="251" t="s">
        <v>22</v>
      </c>
      <c r="C74" s="47" t="s">
        <v>300</v>
      </c>
      <c r="D74" s="47"/>
      <c r="E74" s="47"/>
      <c r="F74" s="17"/>
      <c r="G74" s="47"/>
      <c r="H74" s="47"/>
      <c r="I74" s="226">
        <f>SUM(I75:I77)</f>
        <v>1267.2727272727273</v>
      </c>
      <c r="J74" s="215" t="s">
        <v>237</v>
      </c>
    </row>
    <row r="75" spans="1:10" ht="15.75" x14ac:dyDescent="0.25">
      <c r="A75" s="159" t="s">
        <v>89</v>
      </c>
      <c r="B75" s="225" t="s">
        <v>192</v>
      </c>
      <c r="C75" s="127" t="s">
        <v>107</v>
      </c>
      <c r="D75" s="127">
        <v>2.2000000000000002</v>
      </c>
      <c r="E75" s="127">
        <v>0.27200000000000002</v>
      </c>
      <c r="F75" s="5">
        <f>VLOOKUP(B75,Table1[[TÊN VẬT TƯ]:[THỜI HẠN]],4,0)</f>
        <v>8</v>
      </c>
      <c r="G75" s="227">
        <f>VLOOKUP(B75,Table1[[TÊN VẬT TƯ]:[THỜI HẠN]],3,0)</f>
        <v>15000000</v>
      </c>
      <c r="H75" s="228">
        <f t="shared" ref="H75:H77" si="0">G75/F75/500</f>
        <v>3750</v>
      </c>
      <c r="I75" s="163">
        <f t="shared" ref="I75:I77" si="1">H75*E75</f>
        <v>1020.0000000000001</v>
      </c>
      <c r="J75" s="215"/>
    </row>
    <row r="76" spans="1:10" ht="15.75" x14ac:dyDescent="0.25">
      <c r="A76" s="159" t="s">
        <v>89</v>
      </c>
      <c r="B76" s="225" t="s">
        <v>193</v>
      </c>
      <c r="C76" s="127" t="s">
        <v>200</v>
      </c>
      <c r="D76" s="127">
        <v>0.4</v>
      </c>
      <c r="E76" s="127">
        <v>0.04</v>
      </c>
      <c r="F76" s="5">
        <f>VLOOKUP(B76,Table1[[TÊN VẬT TƯ]:[THỜI HẠN]],4,0)</f>
        <v>5</v>
      </c>
      <c r="G76" s="227">
        <f>VLOOKUP(B76,Table1[[TÊN VẬT TƯ]:[THỜI HẠN]],3,0)</f>
        <v>13636363.636363635</v>
      </c>
      <c r="H76" s="228">
        <f t="shared" si="0"/>
        <v>5454.545454545454</v>
      </c>
      <c r="I76" s="163">
        <f t="shared" si="1"/>
        <v>218.18181818181816</v>
      </c>
      <c r="J76" s="215"/>
    </row>
    <row r="77" spans="1:10" ht="15.75" x14ac:dyDescent="0.25">
      <c r="A77" s="159" t="s">
        <v>89</v>
      </c>
      <c r="B77" s="225" t="s">
        <v>236</v>
      </c>
      <c r="C77" s="127" t="s">
        <v>107</v>
      </c>
      <c r="D77" s="127">
        <v>0.4</v>
      </c>
      <c r="E77" s="127">
        <v>8.0000000000000002E-3</v>
      </c>
      <c r="F77" s="5">
        <f>VLOOKUP(B77,Table1[[TÊN VẬT TƯ]:[THỜI HẠN]],4,0)</f>
        <v>5</v>
      </c>
      <c r="G77" s="227">
        <f>VLOOKUP(B77,Table1[[TÊN VẬT TƯ]:[THỜI HẠN]],3,0)</f>
        <v>9090909.0909090899</v>
      </c>
      <c r="H77" s="228">
        <f t="shared" si="0"/>
        <v>3636.3636363636356</v>
      </c>
      <c r="I77" s="163">
        <f t="shared" si="1"/>
        <v>29.090909090909086</v>
      </c>
      <c r="J77" s="215"/>
    </row>
    <row r="78" spans="1:10" ht="15.75" x14ac:dyDescent="0.25">
      <c r="A78" s="17" t="s">
        <v>122</v>
      </c>
      <c r="B78" s="251" t="s">
        <v>23</v>
      </c>
      <c r="C78" s="47" t="s">
        <v>301</v>
      </c>
      <c r="D78" s="47"/>
      <c r="E78" s="47"/>
      <c r="F78" s="17"/>
      <c r="G78" s="47"/>
      <c r="H78" s="47"/>
      <c r="I78" s="226">
        <f>SUM(I79:I81)</f>
        <v>15.84090909090909</v>
      </c>
      <c r="J78" s="215" t="s">
        <v>237</v>
      </c>
    </row>
    <row r="79" spans="1:10" ht="15.75" x14ac:dyDescent="0.25">
      <c r="A79" s="159" t="s">
        <v>89</v>
      </c>
      <c r="B79" s="225" t="s">
        <v>192</v>
      </c>
      <c r="C79" s="127" t="s">
        <v>107</v>
      </c>
      <c r="D79" s="127">
        <v>2.2000000000000002</v>
      </c>
      <c r="E79" s="127">
        <v>3.3999999999999998E-3</v>
      </c>
      <c r="F79" s="5">
        <f>VLOOKUP(B79,Table1[[TÊN VẬT TƯ]:[THỜI HẠN]],4,0)</f>
        <v>8</v>
      </c>
      <c r="G79" s="227">
        <f>VLOOKUP(B79,Table1[[TÊN VẬT TƯ]:[THỜI HẠN]],3,0)</f>
        <v>15000000</v>
      </c>
      <c r="H79" s="228">
        <f t="shared" ref="H79:H81" si="2">G79/F79/500</f>
        <v>3750</v>
      </c>
      <c r="I79" s="163">
        <f t="shared" ref="I79:I81" si="3">H79*E79</f>
        <v>12.75</v>
      </c>
      <c r="J79" s="215"/>
    </row>
    <row r="80" spans="1:10" ht="15.75" x14ac:dyDescent="0.25">
      <c r="A80" s="159" t="s">
        <v>89</v>
      </c>
      <c r="B80" s="225" t="s">
        <v>193</v>
      </c>
      <c r="C80" s="127" t="s">
        <v>200</v>
      </c>
      <c r="D80" s="127">
        <v>0.4</v>
      </c>
      <c r="E80" s="127">
        <v>5.0000000000000001E-4</v>
      </c>
      <c r="F80" s="5">
        <f>VLOOKUP(B80,Table1[[TÊN VẬT TƯ]:[THỜI HẠN]],4,0)</f>
        <v>5</v>
      </c>
      <c r="G80" s="227">
        <f>VLOOKUP(B80,Table1[[TÊN VẬT TƯ]:[THỜI HẠN]],3,0)</f>
        <v>13636363.636363635</v>
      </c>
      <c r="H80" s="228">
        <f t="shared" si="2"/>
        <v>5454.545454545454</v>
      </c>
      <c r="I80" s="163">
        <f t="shared" si="3"/>
        <v>2.7272727272727271</v>
      </c>
      <c r="J80" s="215"/>
    </row>
    <row r="81" spans="1:11" ht="15.75" x14ac:dyDescent="0.25">
      <c r="A81" s="159" t="s">
        <v>89</v>
      </c>
      <c r="B81" s="225" t="s">
        <v>236</v>
      </c>
      <c r="C81" s="127" t="s">
        <v>107</v>
      </c>
      <c r="D81" s="127">
        <v>0.4</v>
      </c>
      <c r="E81" s="127">
        <v>1E-4</v>
      </c>
      <c r="F81" s="5">
        <f>VLOOKUP(B81,Table1[[TÊN VẬT TƯ]:[THỜI HẠN]],4,0)</f>
        <v>5</v>
      </c>
      <c r="G81" s="227">
        <f>VLOOKUP(B81,Table1[[TÊN VẬT TƯ]:[THỜI HẠN]],3,0)</f>
        <v>9090909.0909090899</v>
      </c>
      <c r="H81" s="228">
        <f t="shared" si="2"/>
        <v>3636.3636363636356</v>
      </c>
      <c r="I81" s="163">
        <f t="shared" si="3"/>
        <v>0.36363636363636359</v>
      </c>
      <c r="J81" s="215"/>
    </row>
    <row r="82" spans="1:11" ht="15.75" x14ac:dyDescent="0.25">
      <c r="A82" s="17" t="s">
        <v>123</v>
      </c>
      <c r="B82" s="251" t="s">
        <v>24</v>
      </c>
      <c r="C82" s="47"/>
      <c r="D82" s="47"/>
      <c r="E82" s="47"/>
      <c r="F82" s="17"/>
      <c r="G82" s="47"/>
      <c r="H82" s="47"/>
      <c r="I82" s="226">
        <v>0</v>
      </c>
      <c r="J82" s="42" t="s">
        <v>611</v>
      </c>
    </row>
    <row r="83" spans="1:11" ht="15.75" x14ac:dyDescent="0.25">
      <c r="A83" s="236"/>
      <c r="B83" s="278" t="s">
        <v>493</v>
      </c>
      <c r="C83" s="223"/>
      <c r="D83" s="223"/>
      <c r="E83" s="223"/>
      <c r="F83" s="236"/>
      <c r="G83" s="223"/>
      <c r="H83" s="223"/>
      <c r="I83" s="322">
        <f>SUM(I84:I87)</f>
        <v>769.86818181818182</v>
      </c>
      <c r="J83" s="233" t="s">
        <v>496</v>
      </c>
    </row>
    <row r="84" spans="1:11" ht="15.75" x14ac:dyDescent="0.25">
      <c r="A84" s="17" t="s">
        <v>120</v>
      </c>
      <c r="B84" s="251" t="s">
        <v>21</v>
      </c>
      <c r="C84" s="47"/>
      <c r="D84" s="47"/>
      <c r="E84" s="47"/>
      <c r="F84" s="17"/>
      <c r="G84" s="47"/>
      <c r="H84" s="47"/>
      <c r="I84" s="226">
        <f>VLOOKUP(THIETBI[[#This Row],[TT]],$A$73:$I$82,9,0)*0.6</f>
        <v>0</v>
      </c>
      <c r="J84" s="42" t="s">
        <v>54</v>
      </c>
      <c r="K84" s="28"/>
    </row>
    <row r="85" spans="1:11" ht="15.75" x14ac:dyDescent="0.25">
      <c r="A85" s="17" t="s">
        <v>121</v>
      </c>
      <c r="B85" s="251" t="s">
        <v>22</v>
      </c>
      <c r="C85" s="47" t="s">
        <v>300</v>
      </c>
      <c r="D85" s="47"/>
      <c r="E85" s="47"/>
      <c r="F85" s="17"/>
      <c r="G85" s="47"/>
      <c r="H85" s="47"/>
      <c r="I85" s="226">
        <f>VLOOKUP(THIETBI[[#This Row],[TT]],$A$73:$I$82,9,0)*0.6</f>
        <v>760.36363636363637</v>
      </c>
      <c r="J85" s="215"/>
      <c r="K85" s="28"/>
    </row>
    <row r="86" spans="1:11" ht="15.75" x14ac:dyDescent="0.25">
      <c r="A86" s="17" t="s">
        <v>122</v>
      </c>
      <c r="B86" s="251" t="s">
        <v>23</v>
      </c>
      <c r="C86" s="47" t="s">
        <v>301</v>
      </c>
      <c r="D86" s="47"/>
      <c r="E86" s="47"/>
      <c r="F86" s="17"/>
      <c r="G86" s="47"/>
      <c r="H86" s="47"/>
      <c r="I86" s="226">
        <f>VLOOKUP(THIETBI[[#This Row],[TT]],$A$73:$I$82,9,0)*0.6</f>
        <v>9.504545454545454</v>
      </c>
      <c r="J86" s="215"/>
    </row>
    <row r="87" spans="1:11" ht="15.75" x14ac:dyDescent="0.25">
      <c r="A87" s="17" t="s">
        <v>123</v>
      </c>
      <c r="B87" s="251" t="s">
        <v>24</v>
      </c>
      <c r="C87" s="47"/>
      <c r="D87" s="47"/>
      <c r="E87" s="47"/>
      <c r="F87" s="17"/>
      <c r="G87" s="47"/>
      <c r="H87" s="47"/>
      <c r="I87" s="226">
        <f>VLOOKUP(THIETBI[[#This Row],[TT]],$A$73:$I$82,9,0)*0.6</f>
        <v>0</v>
      </c>
      <c r="J87" s="42" t="s">
        <v>611</v>
      </c>
    </row>
    <row r="88" spans="1:11" ht="15.75" x14ac:dyDescent="0.25">
      <c r="A88" s="232"/>
      <c r="B88" s="278" t="s">
        <v>494</v>
      </c>
      <c r="C88" s="231"/>
      <c r="D88" s="231"/>
      <c r="E88" s="231"/>
      <c r="F88" s="232"/>
      <c r="G88" s="231"/>
      <c r="H88" s="231"/>
      <c r="I88" s="322">
        <f>SUM(I89:I92)</f>
        <v>256.62272727272727</v>
      </c>
      <c r="J88" s="233" t="s">
        <v>497</v>
      </c>
    </row>
    <row r="89" spans="1:11" ht="15.75" x14ac:dyDescent="0.25">
      <c r="A89" s="17" t="s">
        <v>120</v>
      </c>
      <c r="B89" s="251" t="s">
        <v>21</v>
      </c>
      <c r="C89" s="47"/>
      <c r="D89" s="47"/>
      <c r="E89" s="47"/>
      <c r="F89" s="17"/>
      <c r="G89" s="47"/>
      <c r="H89" s="47"/>
      <c r="I89" s="226">
        <f>VLOOKUP(THIETBI[[#This Row],[TT]],$A$73:$I$82,9,0)*0.2</f>
        <v>0</v>
      </c>
      <c r="J89" s="42" t="s">
        <v>54</v>
      </c>
    </row>
    <row r="90" spans="1:11" ht="15.75" x14ac:dyDescent="0.25">
      <c r="A90" s="17" t="s">
        <v>121</v>
      </c>
      <c r="B90" s="251" t="s">
        <v>22</v>
      </c>
      <c r="C90" s="47" t="s">
        <v>300</v>
      </c>
      <c r="D90" s="47"/>
      <c r="E90" s="47"/>
      <c r="F90" s="17"/>
      <c r="G90" s="47"/>
      <c r="H90" s="47"/>
      <c r="I90" s="226">
        <f>VLOOKUP(THIETBI[[#This Row],[TT]],$A$73:$I$82,9,0)*0.2</f>
        <v>253.45454545454547</v>
      </c>
      <c r="J90" s="215"/>
    </row>
    <row r="91" spans="1:11" ht="15.75" x14ac:dyDescent="0.25">
      <c r="A91" s="17" t="s">
        <v>122</v>
      </c>
      <c r="B91" s="251" t="s">
        <v>23</v>
      </c>
      <c r="C91" s="47" t="s">
        <v>301</v>
      </c>
      <c r="D91" s="47"/>
      <c r="E91" s="47"/>
      <c r="F91" s="17"/>
      <c r="G91" s="47"/>
      <c r="H91" s="47"/>
      <c r="I91" s="226">
        <f>VLOOKUP(THIETBI[[#This Row],[TT]],$A$73:$I$82,9,0)*0.2</f>
        <v>3.168181818181818</v>
      </c>
      <c r="J91" s="215"/>
    </row>
    <row r="92" spans="1:11" ht="15.75" x14ac:dyDescent="0.25">
      <c r="A92" s="17" t="s">
        <v>123</v>
      </c>
      <c r="B92" s="251" t="s">
        <v>24</v>
      </c>
      <c r="C92" s="47"/>
      <c r="D92" s="47"/>
      <c r="E92" s="47"/>
      <c r="F92" s="17"/>
      <c r="G92" s="47"/>
      <c r="H92" s="47"/>
      <c r="I92" s="226">
        <f>VLOOKUP(THIETBI[[#This Row],[TT]],$A$73:$I$82,9,0)*0.2</f>
        <v>0</v>
      </c>
      <c r="J92" s="42" t="s">
        <v>611</v>
      </c>
    </row>
    <row r="93" spans="1:11" ht="31.5" x14ac:dyDescent="0.25">
      <c r="A93" s="4" t="s">
        <v>26</v>
      </c>
      <c r="B93" s="143" t="s">
        <v>27</v>
      </c>
      <c r="C93" s="127"/>
      <c r="D93" s="127"/>
      <c r="E93" s="127"/>
      <c r="F93" s="5"/>
      <c r="G93" s="127"/>
      <c r="H93" s="127"/>
      <c r="I93" s="163"/>
      <c r="J93" s="215"/>
    </row>
    <row r="94" spans="1:11" ht="15.75" x14ac:dyDescent="0.25">
      <c r="A94" s="4" t="s">
        <v>124</v>
      </c>
      <c r="B94" s="143" t="s">
        <v>28</v>
      </c>
      <c r="C94" s="127"/>
      <c r="D94" s="127"/>
      <c r="E94" s="127"/>
      <c r="F94" s="5"/>
      <c r="G94" s="127"/>
      <c r="H94" s="127"/>
      <c r="I94" s="163"/>
      <c r="J94" s="215" t="s">
        <v>249</v>
      </c>
    </row>
    <row r="95" spans="1:11" ht="15.75" x14ac:dyDescent="0.25">
      <c r="A95" s="17"/>
      <c r="B95" s="278" t="s">
        <v>498</v>
      </c>
      <c r="C95" s="47"/>
      <c r="D95" s="47"/>
      <c r="E95" s="47"/>
      <c r="F95" s="17"/>
      <c r="G95" s="47"/>
      <c r="H95" s="47"/>
      <c r="I95" s="322">
        <f>I96+I100+I101+I103+I107+I111+I115+I117+I121+I123+I127+I129+I130</f>
        <v>17284.247727272726</v>
      </c>
      <c r="J95" s="215"/>
    </row>
    <row r="96" spans="1:11" ht="31.5" x14ac:dyDescent="0.25">
      <c r="A96" s="17" t="s">
        <v>125</v>
      </c>
      <c r="B96" s="251" t="s">
        <v>29</v>
      </c>
      <c r="C96" s="47" t="s">
        <v>248</v>
      </c>
      <c r="D96" s="47"/>
      <c r="E96" s="47"/>
      <c r="F96" s="17"/>
      <c r="G96" s="47"/>
      <c r="H96" s="47"/>
      <c r="I96" s="226">
        <f>SUM(I97:I99)</f>
        <v>357.93181818181819</v>
      </c>
      <c r="J96" s="215"/>
    </row>
    <row r="97" spans="1:11" ht="15.75" x14ac:dyDescent="0.25">
      <c r="A97" s="5" t="s">
        <v>89</v>
      </c>
      <c r="B97" s="48" t="s">
        <v>192</v>
      </c>
      <c r="C97" s="127" t="s">
        <v>107</v>
      </c>
      <c r="D97" s="127">
        <v>2.2000000000000002</v>
      </c>
      <c r="E97" s="127">
        <v>9.3799999999999994E-2</v>
      </c>
      <c r="F97" s="5">
        <f>VLOOKUP(B97,Table1[[TÊN VẬT TƯ]:[THỜI HẠN]],4,0)</f>
        <v>8</v>
      </c>
      <c r="G97" s="227">
        <f>VLOOKUP(B97,Table1[[TÊN VẬT TƯ]:[THỜI HẠN]],3,0)</f>
        <v>15000000</v>
      </c>
      <c r="H97" s="228">
        <f t="shared" ref="H97:H99" si="4">G97/F97/500</f>
        <v>3750</v>
      </c>
      <c r="I97" s="163">
        <f t="shared" ref="I97:I99" si="5">H97*E97</f>
        <v>351.75</v>
      </c>
      <c r="J97" s="215"/>
    </row>
    <row r="98" spans="1:11" ht="15.75" x14ac:dyDescent="0.25">
      <c r="A98" s="5" t="s">
        <v>89</v>
      </c>
      <c r="B98" s="48" t="s">
        <v>193</v>
      </c>
      <c r="C98" s="127" t="s">
        <v>200</v>
      </c>
      <c r="D98" s="127">
        <v>0.4</v>
      </c>
      <c r="E98" s="127">
        <v>1E-3</v>
      </c>
      <c r="F98" s="5">
        <f>VLOOKUP(B98,Table1[[TÊN VẬT TƯ]:[THỜI HẠN]],4,0)</f>
        <v>5</v>
      </c>
      <c r="G98" s="227">
        <f>VLOOKUP(B98,Table1[[TÊN VẬT TƯ]:[THỜI HẠN]],3,0)</f>
        <v>13636363.636363635</v>
      </c>
      <c r="H98" s="228">
        <f t="shared" si="4"/>
        <v>5454.545454545454</v>
      </c>
      <c r="I98" s="163">
        <f t="shared" si="5"/>
        <v>5.4545454545454541</v>
      </c>
      <c r="J98" s="215"/>
      <c r="K98" s="28"/>
    </row>
    <row r="99" spans="1:11" ht="15.75" x14ac:dyDescent="0.25">
      <c r="A99" s="5" t="s">
        <v>89</v>
      </c>
      <c r="B99" s="48" t="s">
        <v>236</v>
      </c>
      <c r="C99" s="127" t="s">
        <v>107</v>
      </c>
      <c r="D99" s="127">
        <v>0.4</v>
      </c>
      <c r="E99" s="127">
        <v>2.0000000000000001E-4</v>
      </c>
      <c r="F99" s="5">
        <f>VLOOKUP(B99,Table1[[TÊN VẬT TƯ]:[THỜI HẠN]],4,0)</f>
        <v>5</v>
      </c>
      <c r="G99" s="227">
        <f>VLOOKUP(B99,Table1[[TÊN VẬT TƯ]:[THỜI HẠN]],3,0)</f>
        <v>9090909.0909090899</v>
      </c>
      <c r="H99" s="228">
        <f t="shared" si="4"/>
        <v>3636.3636363636356</v>
      </c>
      <c r="I99" s="163">
        <f t="shared" si="5"/>
        <v>0.72727272727272718</v>
      </c>
      <c r="J99" s="215"/>
    </row>
    <row r="100" spans="1:11" ht="31.5" x14ac:dyDescent="0.25">
      <c r="A100" s="17" t="s">
        <v>126</v>
      </c>
      <c r="B100" s="251" t="s">
        <v>30</v>
      </c>
      <c r="C100" s="47"/>
      <c r="D100" s="47"/>
      <c r="E100" s="47"/>
      <c r="F100" s="17"/>
      <c r="G100" s="47"/>
      <c r="H100" s="47"/>
      <c r="I100" s="226">
        <v>0</v>
      </c>
      <c r="J100" s="42" t="s">
        <v>611</v>
      </c>
    </row>
    <row r="101" spans="1:11" ht="15.75" x14ac:dyDescent="0.25">
      <c r="A101" s="17" t="s">
        <v>127</v>
      </c>
      <c r="B101" s="251" t="s">
        <v>31</v>
      </c>
      <c r="C101" s="47" t="s">
        <v>248</v>
      </c>
      <c r="D101" s="47"/>
      <c r="E101" s="47"/>
      <c r="F101" s="17"/>
      <c r="G101" s="47"/>
      <c r="H101" s="47"/>
      <c r="I101" s="226">
        <f>I102</f>
        <v>527.625</v>
      </c>
      <c r="J101" s="215"/>
    </row>
    <row r="102" spans="1:11" ht="15.75" x14ac:dyDescent="0.25">
      <c r="A102" s="5" t="s">
        <v>89</v>
      </c>
      <c r="B102" s="48" t="s">
        <v>192</v>
      </c>
      <c r="C102" s="127" t="s">
        <v>107</v>
      </c>
      <c r="D102" s="127">
        <v>2.2000000000000002</v>
      </c>
      <c r="E102" s="127">
        <v>0.14069999999999999</v>
      </c>
      <c r="F102" s="5">
        <f>VLOOKUP(B102,Table1[[TÊN VẬT TƯ]:[THỜI HẠN]],4,0)</f>
        <v>8</v>
      </c>
      <c r="G102" s="227">
        <f>VLOOKUP(B102,Table1[[TÊN VẬT TƯ]:[THỜI HẠN]],3,0)</f>
        <v>15000000</v>
      </c>
      <c r="H102" s="228">
        <f>G102/F102/500</f>
        <v>3750</v>
      </c>
      <c r="I102" s="163">
        <f>H102*E102</f>
        <v>527.625</v>
      </c>
      <c r="J102" s="215"/>
    </row>
    <row r="103" spans="1:11" ht="15.75" x14ac:dyDescent="0.25">
      <c r="A103" s="17" t="s">
        <v>128</v>
      </c>
      <c r="B103" s="251" t="s">
        <v>32</v>
      </c>
      <c r="C103" s="47" t="s">
        <v>248</v>
      </c>
      <c r="D103" s="47"/>
      <c r="E103" s="47"/>
      <c r="F103" s="17"/>
      <c r="G103" s="47"/>
      <c r="H103" s="47"/>
      <c r="I103" s="226">
        <f>SUM(I104:I106)</f>
        <v>3269.022727272727</v>
      </c>
      <c r="J103" s="215"/>
    </row>
    <row r="104" spans="1:11" ht="15.75" x14ac:dyDescent="0.25">
      <c r="A104" s="5" t="s">
        <v>89</v>
      </c>
      <c r="B104" s="48" t="s">
        <v>192</v>
      </c>
      <c r="C104" s="127" t="s">
        <v>107</v>
      </c>
      <c r="D104" s="127">
        <v>2.2000000000000002</v>
      </c>
      <c r="E104" s="127">
        <v>0.84419999999999995</v>
      </c>
      <c r="F104" s="5">
        <f>VLOOKUP(B104,Table1[[TÊN VẬT TƯ]:[THỜI HẠN]],4,0)</f>
        <v>8</v>
      </c>
      <c r="G104" s="227">
        <f>VLOOKUP(B104,Table1[[TÊN VẬT TƯ]:[THỜI HẠN]],3,0)</f>
        <v>15000000</v>
      </c>
      <c r="H104" s="228">
        <f t="shared" ref="H104:H106" si="6">G104/F104/500</f>
        <v>3750</v>
      </c>
      <c r="I104" s="163">
        <f t="shared" ref="I104:I106" si="7">H104*E104</f>
        <v>3165.75</v>
      </c>
      <c r="J104" s="215"/>
    </row>
    <row r="105" spans="1:11" ht="15.75" x14ac:dyDescent="0.25">
      <c r="A105" s="5" t="s">
        <v>89</v>
      </c>
      <c r="B105" s="48" t="s">
        <v>193</v>
      </c>
      <c r="C105" s="127" t="s">
        <v>200</v>
      </c>
      <c r="D105" s="127">
        <v>0.4</v>
      </c>
      <c r="E105" s="127">
        <v>1.7999999999999999E-2</v>
      </c>
      <c r="F105" s="5">
        <f>VLOOKUP(B105,Table1[[TÊN VẬT TƯ]:[THỜI HẠN]],4,0)</f>
        <v>5</v>
      </c>
      <c r="G105" s="227">
        <f>VLOOKUP(B105,Table1[[TÊN VẬT TƯ]:[THỜI HẠN]],3,0)</f>
        <v>13636363.636363635</v>
      </c>
      <c r="H105" s="228">
        <f t="shared" si="6"/>
        <v>5454.545454545454</v>
      </c>
      <c r="I105" s="163">
        <f t="shared" si="7"/>
        <v>98.181818181818159</v>
      </c>
      <c r="J105" s="215"/>
    </row>
    <row r="106" spans="1:11" ht="15.75" x14ac:dyDescent="0.25">
      <c r="A106" s="5" t="s">
        <v>89</v>
      </c>
      <c r="B106" s="48" t="s">
        <v>236</v>
      </c>
      <c r="C106" s="127" t="s">
        <v>107</v>
      </c>
      <c r="D106" s="127">
        <v>0.4</v>
      </c>
      <c r="E106" s="127">
        <v>1.4E-3</v>
      </c>
      <c r="F106" s="5">
        <f>VLOOKUP(B106,Table1[[TÊN VẬT TƯ]:[THỜI HẠN]],4,0)</f>
        <v>5</v>
      </c>
      <c r="G106" s="227">
        <f>VLOOKUP(B106,Table1[[TÊN VẬT TƯ]:[THỜI HẠN]],3,0)</f>
        <v>9090909.0909090899</v>
      </c>
      <c r="H106" s="228">
        <f t="shared" si="6"/>
        <v>3636.3636363636356</v>
      </c>
      <c r="I106" s="163">
        <f t="shared" si="7"/>
        <v>5.0909090909090899</v>
      </c>
      <c r="J106" s="215"/>
    </row>
    <row r="107" spans="1:11" ht="15.75" x14ac:dyDescent="0.25">
      <c r="A107" s="17" t="s">
        <v>129</v>
      </c>
      <c r="B107" s="251" t="s">
        <v>33</v>
      </c>
      <c r="C107" s="47" t="s">
        <v>248</v>
      </c>
      <c r="D107" s="47"/>
      <c r="E107" s="47"/>
      <c r="F107" s="17"/>
      <c r="G107" s="47"/>
      <c r="H107" s="47"/>
      <c r="I107" s="226">
        <f>SUM(I108:I110)</f>
        <v>3111.340909090909</v>
      </c>
      <c r="J107" s="215"/>
    </row>
    <row r="108" spans="1:11" ht="15.75" x14ac:dyDescent="0.25">
      <c r="A108" s="5" t="s">
        <v>89</v>
      </c>
      <c r="B108" s="48" t="s">
        <v>192</v>
      </c>
      <c r="C108" s="127" t="s">
        <v>107</v>
      </c>
      <c r="D108" s="127">
        <v>2.2000000000000002</v>
      </c>
      <c r="E108" s="127">
        <v>0.65659999999999996</v>
      </c>
      <c r="F108" s="5">
        <f>VLOOKUP(B108,Table1[[TÊN VẬT TƯ]:[THỜI HẠN]],4,0)</f>
        <v>8</v>
      </c>
      <c r="G108" s="227">
        <f>VLOOKUP(B108,Table1[[TÊN VẬT TƯ]:[THỜI HẠN]],3,0)</f>
        <v>15000000</v>
      </c>
      <c r="H108" s="228">
        <f t="shared" ref="H108:H110" si="8">G108/F108/500</f>
        <v>3750</v>
      </c>
      <c r="I108" s="163">
        <f t="shared" ref="I108:I110" si="9">H108*E108</f>
        <v>2462.25</v>
      </c>
      <c r="J108" s="215"/>
    </row>
    <row r="109" spans="1:11" ht="15.75" x14ac:dyDescent="0.25">
      <c r="A109" s="5" t="s">
        <v>89</v>
      </c>
      <c r="B109" s="48" t="s">
        <v>193</v>
      </c>
      <c r="C109" s="127" t="s">
        <v>200</v>
      </c>
      <c r="D109" s="127">
        <v>0.4</v>
      </c>
      <c r="E109" s="127">
        <v>0.105</v>
      </c>
      <c r="F109" s="5">
        <f>VLOOKUP(B109,Table1[[TÊN VẬT TƯ]:[THỜI HẠN]],4,0)</f>
        <v>5</v>
      </c>
      <c r="G109" s="227">
        <f>VLOOKUP(B109,Table1[[TÊN VẬT TƯ]:[THỜI HẠN]],3,0)</f>
        <v>13636363.636363635</v>
      </c>
      <c r="H109" s="228">
        <f t="shared" si="8"/>
        <v>5454.545454545454</v>
      </c>
      <c r="I109" s="163">
        <f t="shared" si="9"/>
        <v>572.72727272727263</v>
      </c>
      <c r="J109" s="215"/>
    </row>
    <row r="110" spans="1:11" ht="15.75" x14ac:dyDescent="0.25">
      <c r="A110" s="5" t="s">
        <v>89</v>
      </c>
      <c r="B110" s="48" t="s">
        <v>236</v>
      </c>
      <c r="C110" s="127" t="s">
        <v>107</v>
      </c>
      <c r="D110" s="127">
        <v>0.4</v>
      </c>
      <c r="E110" s="127">
        <v>2.1000000000000001E-2</v>
      </c>
      <c r="F110" s="5">
        <f>VLOOKUP(B110,Table1[[TÊN VẬT TƯ]:[THỜI HẠN]],4,0)</f>
        <v>5</v>
      </c>
      <c r="G110" s="227">
        <f>VLOOKUP(B110,Table1[[TÊN VẬT TƯ]:[THỜI HẠN]],3,0)</f>
        <v>9090909.0909090899</v>
      </c>
      <c r="H110" s="228">
        <f t="shared" si="8"/>
        <v>3636.3636363636356</v>
      </c>
      <c r="I110" s="163">
        <f t="shared" si="9"/>
        <v>76.363636363636346</v>
      </c>
      <c r="J110" s="215"/>
    </row>
    <row r="111" spans="1:11" ht="15.75" x14ac:dyDescent="0.25">
      <c r="A111" s="17" t="s">
        <v>130</v>
      </c>
      <c r="B111" s="251" t="s">
        <v>34</v>
      </c>
      <c r="C111" s="47" t="s">
        <v>248</v>
      </c>
      <c r="D111" s="47"/>
      <c r="E111" s="47"/>
      <c r="F111" s="17"/>
      <c r="G111" s="47"/>
      <c r="H111" s="47"/>
      <c r="I111" s="226">
        <f>SUM(I112:I114)</f>
        <v>1789.659090909091</v>
      </c>
      <c r="J111" s="215"/>
    </row>
    <row r="112" spans="1:11" ht="15.75" x14ac:dyDescent="0.25">
      <c r="A112" s="5" t="s">
        <v>89</v>
      </c>
      <c r="B112" s="48" t="s">
        <v>192</v>
      </c>
      <c r="C112" s="127" t="s">
        <v>107</v>
      </c>
      <c r="D112" s="127">
        <v>2.2000000000000002</v>
      </c>
      <c r="E112" s="127">
        <v>0.46899999999999997</v>
      </c>
      <c r="F112" s="5">
        <f>VLOOKUP(B112,Table1[[TÊN VẬT TƯ]:[THỜI HẠN]],4,0)</f>
        <v>8</v>
      </c>
      <c r="G112" s="227">
        <f>VLOOKUP(B112,Table1[[TÊN VẬT TƯ]:[THỜI HẠN]],3,0)</f>
        <v>15000000</v>
      </c>
      <c r="H112" s="228">
        <f t="shared" ref="H112:H114" si="10">G112/F112/500</f>
        <v>3750</v>
      </c>
      <c r="I112" s="163">
        <f t="shared" ref="I112:I114" si="11">H112*E112</f>
        <v>1758.75</v>
      </c>
      <c r="J112" s="215"/>
    </row>
    <row r="113" spans="1:11" ht="15.75" x14ac:dyDescent="0.25">
      <c r="A113" s="5" t="s">
        <v>89</v>
      </c>
      <c r="B113" s="48" t="s">
        <v>193</v>
      </c>
      <c r="C113" s="127" t="s">
        <v>200</v>
      </c>
      <c r="D113" s="127">
        <v>0.4</v>
      </c>
      <c r="E113" s="127">
        <v>5.0000000000000001E-3</v>
      </c>
      <c r="F113" s="5">
        <f>VLOOKUP(B113,Table1[[TÊN VẬT TƯ]:[THỜI HẠN]],4,0)</f>
        <v>5</v>
      </c>
      <c r="G113" s="227">
        <f>VLOOKUP(B113,Table1[[TÊN VẬT TƯ]:[THỜI HẠN]],3,0)</f>
        <v>13636363.636363635</v>
      </c>
      <c r="H113" s="228">
        <f t="shared" si="10"/>
        <v>5454.545454545454</v>
      </c>
      <c r="I113" s="163">
        <f t="shared" si="11"/>
        <v>27.27272727272727</v>
      </c>
      <c r="J113" s="215"/>
    </row>
    <row r="114" spans="1:11" ht="15.75" x14ac:dyDescent="0.25">
      <c r="A114" s="5" t="s">
        <v>89</v>
      </c>
      <c r="B114" s="48" t="s">
        <v>236</v>
      </c>
      <c r="C114" s="127" t="s">
        <v>107</v>
      </c>
      <c r="D114" s="127">
        <v>0.4</v>
      </c>
      <c r="E114" s="127">
        <v>1E-3</v>
      </c>
      <c r="F114" s="5">
        <f>VLOOKUP(B114,Table1[[TÊN VẬT TƯ]:[THỜI HẠN]],4,0)</f>
        <v>5</v>
      </c>
      <c r="G114" s="227">
        <f>VLOOKUP(B114,Table1[[TÊN VẬT TƯ]:[THỜI HẠN]],3,0)</f>
        <v>9090909.0909090899</v>
      </c>
      <c r="H114" s="228">
        <f t="shared" si="10"/>
        <v>3636.3636363636356</v>
      </c>
      <c r="I114" s="163">
        <f t="shared" si="11"/>
        <v>3.6363636363636358</v>
      </c>
      <c r="J114" s="215"/>
    </row>
    <row r="115" spans="1:11" ht="31.5" x14ac:dyDescent="0.25">
      <c r="A115" s="17" t="s">
        <v>131</v>
      </c>
      <c r="B115" s="251" t="s">
        <v>35</v>
      </c>
      <c r="C115" s="47" t="s">
        <v>248</v>
      </c>
      <c r="D115" s="47"/>
      <c r="E115" s="47"/>
      <c r="F115" s="17"/>
      <c r="G115" s="47"/>
      <c r="H115" s="47"/>
      <c r="I115" s="226">
        <f>I116</f>
        <v>351.75</v>
      </c>
      <c r="J115" s="215"/>
    </row>
    <row r="116" spans="1:11" ht="15.75" x14ac:dyDescent="0.25">
      <c r="A116" s="5" t="s">
        <v>89</v>
      </c>
      <c r="B116" s="48" t="s">
        <v>192</v>
      </c>
      <c r="C116" s="127" t="s">
        <v>107</v>
      </c>
      <c r="D116" s="127">
        <v>2.2000000000000002</v>
      </c>
      <c r="E116" s="127">
        <v>9.3799999999999994E-2</v>
      </c>
      <c r="F116" s="5">
        <f>VLOOKUP(B116,Table1[[TÊN VẬT TƯ]:[THỜI HẠN]],4,0)</f>
        <v>8</v>
      </c>
      <c r="G116" s="227">
        <f>VLOOKUP(B116,Table1[[TÊN VẬT TƯ]:[THỜI HẠN]],3,0)</f>
        <v>15000000</v>
      </c>
      <c r="H116" s="228">
        <f>G116/F116/500</f>
        <v>3750</v>
      </c>
      <c r="I116" s="163">
        <f>H116*E116</f>
        <v>351.75</v>
      </c>
      <c r="J116" s="215"/>
    </row>
    <row r="117" spans="1:11" ht="15.75" x14ac:dyDescent="0.25">
      <c r="A117" s="17" t="s">
        <v>132</v>
      </c>
      <c r="B117" s="251" t="s">
        <v>36</v>
      </c>
      <c r="C117" s="47" t="s">
        <v>248</v>
      </c>
      <c r="D117" s="47"/>
      <c r="E117" s="47"/>
      <c r="F117" s="17"/>
      <c r="G117" s="47"/>
      <c r="H117" s="47"/>
      <c r="I117" s="226">
        <f>SUM(I118:I120)</f>
        <v>5490.7136363636364</v>
      </c>
      <c r="J117" s="215"/>
    </row>
    <row r="118" spans="1:11" ht="15.75" x14ac:dyDescent="0.25">
      <c r="A118" s="5" t="s">
        <v>89</v>
      </c>
      <c r="B118" s="48" t="s">
        <v>192</v>
      </c>
      <c r="C118" s="127" t="s">
        <v>107</v>
      </c>
      <c r="D118" s="127">
        <v>2.2000000000000002</v>
      </c>
      <c r="E118" s="127">
        <v>1.2194</v>
      </c>
      <c r="F118" s="5">
        <f>VLOOKUP(B118,Table1[[TÊN VẬT TƯ]:[THỜI HẠN]],4,0)</f>
        <v>8</v>
      </c>
      <c r="G118" s="227">
        <f>VLOOKUP(B118,Table1[[TÊN VẬT TƯ]:[THỜI HẠN]],3,0)</f>
        <v>15000000</v>
      </c>
      <c r="H118" s="228">
        <f t="shared" ref="H118:H120" si="12">G118/F118/500</f>
        <v>3750</v>
      </c>
      <c r="I118" s="163">
        <f t="shared" ref="I118:I120" si="13">H118*E118</f>
        <v>4572.75</v>
      </c>
      <c r="J118" s="215"/>
      <c r="K118" s="29"/>
    </row>
    <row r="119" spans="1:11" ht="15.75" x14ac:dyDescent="0.25">
      <c r="A119" s="5" t="s">
        <v>89</v>
      </c>
      <c r="B119" s="48" t="s">
        <v>193</v>
      </c>
      <c r="C119" s="127" t="s">
        <v>200</v>
      </c>
      <c r="D119" s="127">
        <v>0.4</v>
      </c>
      <c r="E119" s="127">
        <v>0.14849999999999999</v>
      </c>
      <c r="F119" s="5">
        <f>VLOOKUP(B119,Table1[[TÊN VẬT TƯ]:[THỜI HẠN]],4,0)</f>
        <v>5</v>
      </c>
      <c r="G119" s="227">
        <f>VLOOKUP(B119,Table1[[TÊN VẬT TƯ]:[THỜI HẠN]],3,0)</f>
        <v>13636363.636363635</v>
      </c>
      <c r="H119" s="228">
        <f t="shared" si="12"/>
        <v>5454.545454545454</v>
      </c>
      <c r="I119" s="163">
        <f t="shared" si="13"/>
        <v>809.99999999999989</v>
      </c>
      <c r="J119" s="215"/>
    </row>
    <row r="120" spans="1:11" ht="15.75" x14ac:dyDescent="0.25">
      <c r="A120" s="5" t="s">
        <v>89</v>
      </c>
      <c r="B120" s="48" t="s">
        <v>236</v>
      </c>
      <c r="C120" s="127" t="s">
        <v>107</v>
      </c>
      <c r="D120" s="127">
        <v>0.4</v>
      </c>
      <c r="E120" s="127">
        <v>2.9690000000000001E-2</v>
      </c>
      <c r="F120" s="5">
        <f>VLOOKUP(B120,Table1[[TÊN VẬT TƯ]:[THỜI HẠN]],4,0)</f>
        <v>5</v>
      </c>
      <c r="G120" s="227">
        <f>VLOOKUP(B120,Table1[[TÊN VẬT TƯ]:[THỜI HẠN]],3,0)</f>
        <v>9090909.0909090899</v>
      </c>
      <c r="H120" s="228">
        <f t="shared" si="12"/>
        <v>3636.3636363636356</v>
      </c>
      <c r="I120" s="163">
        <f t="shared" si="13"/>
        <v>107.96363636363634</v>
      </c>
      <c r="J120" s="215"/>
    </row>
    <row r="121" spans="1:11" ht="15.75" x14ac:dyDescent="0.25">
      <c r="A121" s="17" t="s">
        <v>133</v>
      </c>
      <c r="B121" s="251" t="s">
        <v>37</v>
      </c>
      <c r="C121" s="47" t="s">
        <v>248</v>
      </c>
      <c r="D121" s="47"/>
      <c r="E121" s="47"/>
      <c r="F121" s="17"/>
      <c r="G121" s="47"/>
      <c r="H121" s="47"/>
      <c r="I121" s="226">
        <f>I122</f>
        <v>879.375</v>
      </c>
      <c r="J121" s="215"/>
    </row>
    <row r="122" spans="1:11" ht="15.75" x14ac:dyDescent="0.25">
      <c r="A122" s="5" t="s">
        <v>89</v>
      </c>
      <c r="B122" s="48" t="s">
        <v>192</v>
      </c>
      <c r="C122" s="127" t="s">
        <v>107</v>
      </c>
      <c r="D122" s="127">
        <v>2.2000000000000002</v>
      </c>
      <c r="E122" s="127">
        <v>0.23449999999999999</v>
      </c>
      <c r="F122" s="5">
        <f>VLOOKUP(B122,Table1[[TÊN VẬT TƯ]:[THỜI HẠN]],4,0)</f>
        <v>8</v>
      </c>
      <c r="G122" s="227">
        <f>VLOOKUP(B122,Table1[[TÊN VẬT TƯ]:[THỜI HẠN]],3,0)</f>
        <v>15000000</v>
      </c>
      <c r="H122" s="228">
        <f>G122/F122/500</f>
        <v>3750</v>
      </c>
      <c r="I122" s="163">
        <f>H122*E122</f>
        <v>879.375</v>
      </c>
      <c r="J122" s="215"/>
    </row>
    <row r="123" spans="1:11" ht="31.5" x14ac:dyDescent="0.25">
      <c r="A123" s="17" t="s">
        <v>134</v>
      </c>
      <c r="B123" s="251" t="s">
        <v>38</v>
      </c>
      <c r="C123" s="47" t="s">
        <v>248</v>
      </c>
      <c r="D123" s="47"/>
      <c r="E123" s="47"/>
      <c r="F123" s="17"/>
      <c r="G123" s="47"/>
      <c r="H123" s="47"/>
      <c r="I123" s="226">
        <f>SUM(I124:I126)</f>
        <v>794.05681818181813</v>
      </c>
      <c r="J123" s="215"/>
    </row>
    <row r="124" spans="1:11" ht="15.75" x14ac:dyDescent="0.25">
      <c r="A124" s="5" t="s">
        <v>89</v>
      </c>
      <c r="B124" s="48" t="s">
        <v>192</v>
      </c>
      <c r="C124" s="127" t="s">
        <v>107</v>
      </c>
      <c r="D124" s="127">
        <v>2.2000000000000002</v>
      </c>
      <c r="E124" s="127">
        <v>4.6899999999999997E-2</v>
      </c>
      <c r="F124" s="5">
        <f>VLOOKUP(B124,Table1[[TÊN VẬT TƯ]:[THỜI HẠN]],4,0)</f>
        <v>8</v>
      </c>
      <c r="G124" s="227">
        <f>VLOOKUP(B124,Table1[[TÊN VẬT TƯ]:[THỜI HẠN]],3,0)</f>
        <v>15000000</v>
      </c>
      <c r="H124" s="228">
        <f t="shared" ref="H124:H126" si="14">G124/F124/500</f>
        <v>3750</v>
      </c>
      <c r="I124" s="163">
        <f t="shared" ref="I124:I126" si="15">H124*E124</f>
        <v>175.875</v>
      </c>
      <c r="J124" s="215"/>
    </row>
    <row r="125" spans="1:11" ht="15.75" x14ac:dyDescent="0.25">
      <c r="A125" s="5" t="s">
        <v>89</v>
      </c>
      <c r="B125" s="48" t="s">
        <v>193</v>
      </c>
      <c r="C125" s="127" t="s">
        <v>200</v>
      </c>
      <c r="D125" s="127">
        <v>0.4</v>
      </c>
      <c r="E125" s="127">
        <v>0.1</v>
      </c>
      <c r="F125" s="5">
        <f>VLOOKUP(B125,Table1[[TÊN VẬT TƯ]:[THỜI HẠN]],4,0)</f>
        <v>5</v>
      </c>
      <c r="G125" s="227">
        <f>VLOOKUP(B125,Table1[[TÊN VẬT TƯ]:[THỜI HẠN]],3,0)</f>
        <v>13636363.636363635</v>
      </c>
      <c r="H125" s="228">
        <f t="shared" si="14"/>
        <v>5454.545454545454</v>
      </c>
      <c r="I125" s="163">
        <f t="shared" si="15"/>
        <v>545.45454545454538</v>
      </c>
      <c r="J125" s="215"/>
    </row>
    <row r="126" spans="1:11" ht="15.75" x14ac:dyDescent="0.25">
      <c r="A126" s="5" t="s">
        <v>89</v>
      </c>
      <c r="B126" s="48" t="s">
        <v>236</v>
      </c>
      <c r="C126" s="127" t="s">
        <v>107</v>
      </c>
      <c r="D126" s="127">
        <v>0.4</v>
      </c>
      <c r="E126" s="127">
        <v>0.02</v>
      </c>
      <c r="F126" s="5">
        <f>VLOOKUP(B126,Table1[[TÊN VẬT TƯ]:[THỜI HẠN]],4,0)</f>
        <v>5</v>
      </c>
      <c r="G126" s="227">
        <f>VLOOKUP(B126,Table1[[TÊN VẬT TƯ]:[THỜI HẠN]],3,0)</f>
        <v>9090909.0909090899</v>
      </c>
      <c r="H126" s="228">
        <f t="shared" si="14"/>
        <v>3636.3636363636356</v>
      </c>
      <c r="I126" s="163">
        <f t="shared" si="15"/>
        <v>72.72727272727272</v>
      </c>
      <c r="J126" s="215"/>
    </row>
    <row r="127" spans="1:11" ht="15.75" x14ac:dyDescent="0.25">
      <c r="A127" s="17" t="s">
        <v>135</v>
      </c>
      <c r="B127" s="251" t="s">
        <v>39</v>
      </c>
      <c r="C127" s="47" t="s">
        <v>248</v>
      </c>
      <c r="D127" s="47"/>
      <c r="E127" s="47"/>
      <c r="F127" s="17"/>
      <c r="G127" s="47"/>
      <c r="H127" s="47"/>
      <c r="I127" s="226">
        <f>I128</f>
        <v>175.875</v>
      </c>
      <c r="J127" s="215"/>
    </row>
    <row r="128" spans="1:11" ht="15.75" x14ac:dyDescent="0.25">
      <c r="A128" s="5" t="s">
        <v>89</v>
      </c>
      <c r="B128" s="48" t="s">
        <v>192</v>
      </c>
      <c r="C128" s="127" t="s">
        <v>107</v>
      </c>
      <c r="D128" s="127">
        <v>2.2000000000000002</v>
      </c>
      <c r="E128" s="127">
        <v>4.6899999999999997E-2</v>
      </c>
      <c r="F128" s="5">
        <f>VLOOKUP(B128,Table1[[TÊN VẬT TƯ]:[THỜI HẠN]],4,0)</f>
        <v>8</v>
      </c>
      <c r="G128" s="227">
        <f>VLOOKUP(B128,Table1[[TÊN VẬT TƯ]:[THỜI HẠN]],3,0)</f>
        <v>15000000</v>
      </c>
      <c r="H128" s="228">
        <f>G128/F128/500</f>
        <v>3750</v>
      </c>
      <c r="I128" s="163">
        <f>H128*E128</f>
        <v>175.875</v>
      </c>
      <c r="J128" s="215"/>
    </row>
    <row r="129" spans="1:10" ht="31.5" x14ac:dyDescent="0.25">
      <c r="A129" s="17" t="s">
        <v>136</v>
      </c>
      <c r="B129" s="251" t="s">
        <v>40</v>
      </c>
      <c r="C129" s="47"/>
      <c r="D129" s="47"/>
      <c r="E129" s="47"/>
      <c r="F129" s="17"/>
      <c r="G129" s="47"/>
      <c r="H129" s="47"/>
      <c r="I129" s="226">
        <v>0</v>
      </c>
      <c r="J129" s="42" t="s">
        <v>611</v>
      </c>
    </row>
    <row r="130" spans="1:10" ht="31.5" x14ac:dyDescent="0.25">
      <c r="A130" s="17" t="s">
        <v>137</v>
      </c>
      <c r="B130" s="251" t="s">
        <v>41</v>
      </c>
      <c r="C130" s="47" t="s">
        <v>248</v>
      </c>
      <c r="D130" s="47"/>
      <c r="E130" s="47"/>
      <c r="F130" s="17"/>
      <c r="G130" s="47"/>
      <c r="H130" s="47"/>
      <c r="I130" s="226">
        <f>SUM(I131:I133)</f>
        <v>536.89772727272725</v>
      </c>
      <c r="J130" s="215"/>
    </row>
    <row r="131" spans="1:10" ht="15.75" x14ac:dyDescent="0.25">
      <c r="A131" s="5" t="s">
        <v>89</v>
      </c>
      <c r="B131" s="48" t="s">
        <v>192</v>
      </c>
      <c r="C131" s="127" t="s">
        <v>107</v>
      </c>
      <c r="D131" s="127">
        <v>2.2000000000000002</v>
      </c>
      <c r="E131" s="127">
        <v>0.14069999999999999</v>
      </c>
      <c r="F131" s="5">
        <f>VLOOKUP(B131,Table1[[TÊN VẬT TƯ]:[THỜI HẠN]],4,0)</f>
        <v>8</v>
      </c>
      <c r="G131" s="227">
        <f>VLOOKUP(B131,Table1[[TÊN VẬT TƯ]:[THỜI HẠN]],3,0)</f>
        <v>15000000</v>
      </c>
      <c r="H131" s="228">
        <f t="shared" ref="H131:H133" si="16">G131/F131/500</f>
        <v>3750</v>
      </c>
      <c r="I131" s="163">
        <f t="shared" ref="I131:I133" si="17">H131*E131</f>
        <v>527.625</v>
      </c>
      <c r="J131" s="215"/>
    </row>
    <row r="132" spans="1:10" ht="15.75" x14ac:dyDescent="0.25">
      <c r="A132" s="5" t="s">
        <v>89</v>
      </c>
      <c r="B132" s="48" t="s">
        <v>193</v>
      </c>
      <c r="C132" s="127" t="s">
        <v>200</v>
      </c>
      <c r="D132" s="127">
        <v>0.4</v>
      </c>
      <c r="E132" s="127">
        <v>1.5E-3</v>
      </c>
      <c r="F132" s="5">
        <f>VLOOKUP(B132,Table1[[TÊN VẬT TƯ]:[THỜI HẠN]],4,0)</f>
        <v>5</v>
      </c>
      <c r="G132" s="227">
        <f>VLOOKUP(B132,Table1[[TÊN VẬT TƯ]:[THỜI HẠN]],3,0)</f>
        <v>13636363.636363635</v>
      </c>
      <c r="H132" s="228">
        <f t="shared" si="16"/>
        <v>5454.545454545454</v>
      </c>
      <c r="I132" s="163">
        <f t="shared" si="17"/>
        <v>8.1818181818181817</v>
      </c>
      <c r="J132" s="215"/>
    </row>
    <row r="133" spans="1:10" ht="15.75" x14ac:dyDescent="0.25">
      <c r="A133" s="5" t="s">
        <v>89</v>
      </c>
      <c r="B133" s="48" t="s">
        <v>236</v>
      </c>
      <c r="C133" s="127" t="s">
        <v>107</v>
      </c>
      <c r="D133" s="127">
        <v>0.4</v>
      </c>
      <c r="E133" s="127">
        <v>2.9999999999999997E-4</v>
      </c>
      <c r="F133" s="5">
        <f>VLOOKUP(B133,Table1[[TÊN VẬT TƯ]:[THỜI HẠN]],4,0)</f>
        <v>5</v>
      </c>
      <c r="G133" s="227">
        <f>VLOOKUP(B133,Table1[[TÊN VẬT TƯ]:[THỜI HẠN]],3,0)</f>
        <v>9090909.0909090899</v>
      </c>
      <c r="H133" s="228">
        <f t="shared" si="16"/>
        <v>3636.3636363636356</v>
      </c>
      <c r="I133" s="163">
        <f t="shared" si="17"/>
        <v>1.0909090909090906</v>
      </c>
      <c r="J133" s="215"/>
    </row>
    <row r="134" spans="1:10" ht="15.75" x14ac:dyDescent="0.25">
      <c r="A134" s="232"/>
      <c r="B134" s="278" t="s">
        <v>499</v>
      </c>
      <c r="C134" s="231"/>
      <c r="D134" s="231"/>
      <c r="E134" s="231"/>
      <c r="F134" s="232"/>
      <c r="G134" s="231"/>
      <c r="H134" s="234"/>
      <c r="I134" s="322">
        <f>SUM(I135:I147)</f>
        <v>19012.672500000004</v>
      </c>
      <c r="J134" s="235" t="s">
        <v>503</v>
      </c>
    </row>
    <row r="135" spans="1:10" ht="31.5" x14ac:dyDescent="0.25">
      <c r="A135" s="17" t="s">
        <v>125</v>
      </c>
      <c r="B135" s="251" t="s">
        <v>29</v>
      </c>
      <c r="C135" s="47" t="s">
        <v>248</v>
      </c>
      <c r="D135" s="47"/>
      <c r="E135" s="47"/>
      <c r="F135" s="17"/>
      <c r="G135" s="47"/>
      <c r="H135" s="47"/>
      <c r="I135" s="226">
        <f>VLOOKUP(THIETBI[[#This Row],[TT]],$A$96:$I$133,9,0)*1.1</f>
        <v>393.72500000000002</v>
      </c>
      <c r="J135" s="215"/>
    </row>
    <row r="136" spans="1:10" ht="31.5" x14ac:dyDescent="0.25">
      <c r="A136" s="17" t="s">
        <v>126</v>
      </c>
      <c r="B136" s="251" t="s">
        <v>30</v>
      </c>
      <c r="C136" s="47"/>
      <c r="D136" s="47"/>
      <c r="E136" s="47"/>
      <c r="F136" s="17"/>
      <c r="G136" s="47"/>
      <c r="H136" s="47"/>
      <c r="I136" s="226">
        <f>VLOOKUP(THIETBI[[#This Row],[TT]],$A$96:$I$133,9,0)*1.1</f>
        <v>0</v>
      </c>
      <c r="J136" s="42" t="s">
        <v>611</v>
      </c>
    </row>
    <row r="137" spans="1:10" ht="15.75" x14ac:dyDescent="0.25">
      <c r="A137" s="17" t="s">
        <v>127</v>
      </c>
      <c r="B137" s="251" t="s">
        <v>31</v>
      </c>
      <c r="C137" s="47" t="s">
        <v>248</v>
      </c>
      <c r="D137" s="47"/>
      <c r="E137" s="47"/>
      <c r="F137" s="17"/>
      <c r="G137" s="47"/>
      <c r="H137" s="47"/>
      <c r="I137" s="226">
        <f>VLOOKUP(THIETBI[[#This Row],[TT]],$A$96:$I$133,9,0)*1.1</f>
        <v>580.38750000000005</v>
      </c>
      <c r="J137" s="215"/>
    </row>
    <row r="138" spans="1:10" ht="15.75" x14ac:dyDescent="0.25">
      <c r="A138" s="17" t="s">
        <v>128</v>
      </c>
      <c r="B138" s="251" t="s">
        <v>32</v>
      </c>
      <c r="C138" s="47" t="s">
        <v>248</v>
      </c>
      <c r="D138" s="47"/>
      <c r="E138" s="47"/>
      <c r="F138" s="17"/>
      <c r="G138" s="47"/>
      <c r="H138" s="47"/>
      <c r="I138" s="226">
        <f>VLOOKUP(THIETBI[[#This Row],[TT]],$A$96:$I$133,9,0)*1.1</f>
        <v>3595.9250000000002</v>
      </c>
      <c r="J138" s="215"/>
    </row>
    <row r="139" spans="1:10" s="59" customFormat="1" ht="15.75" x14ac:dyDescent="0.25">
      <c r="A139" s="17" t="s">
        <v>129</v>
      </c>
      <c r="B139" s="251" t="s">
        <v>33</v>
      </c>
      <c r="C139" s="47" t="s">
        <v>248</v>
      </c>
      <c r="D139" s="47"/>
      <c r="E139" s="47"/>
      <c r="F139" s="17"/>
      <c r="G139" s="47"/>
      <c r="H139" s="47"/>
      <c r="I139" s="226">
        <f>VLOOKUP(THIETBI[[#This Row],[TT]],$A$96:$I$133,9,0)*1.1</f>
        <v>3422.4750000000004</v>
      </c>
      <c r="J139" s="215"/>
    </row>
    <row r="140" spans="1:10" s="59" customFormat="1" ht="15.75" x14ac:dyDescent="0.25">
      <c r="A140" s="17" t="s">
        <v>130</v>
      </c>
      <c r="B140" s="251" t="s">
        <v>34</v>
      </c>
      <c r="C140" s="47" t="s">
        <v>248</v>
      </c>
      <c r="D140" s="47"/>
      <c r="E140" s="47"/>
      <c r="F140" s="17"/>
      <c r="G140" s="47"/>
      <c r="H140" s="47"/>
      <c r="I140" s="226">
        <f>VLOOKUP(THIETBI[[#This Row],[TT]],$A$96:$I$133,9,0)*1.1</f>
        <v>1968.6250000000002</v>
      </c>
      <c r="J140" s="215"/>
    </row>
    <row r="141" spans="1:10" ht="31.5" x14ac:dyDescent="0.25">
      <c r="A141" s="17" t="s">
        <v>131</v>
      </c>
      <c r="B141" s="251" t="s">
        <v>35</v>
      </c>
      <c r="C141" s="47" t="s">
        <v>248</v>
      </c>
      <c r="D141" s="47"/>
      <c r="E141" s="47"/>
      <c r="F141" s="17"/>
      <c r="G141" s="47"/>
      <c r="H141" s="47"/>
      <c r="I141" s="226">
        <f>VLOOKUP(THIETBI[[#This Row],[TT]],$A$96:$I$133,9,0)*1.1</f>
        <v>386.92500000000001</v>
      </c>
      <c r="J141" s="215"/>
    </row>
    <row r="142" spans="1:10" ht="15.75" x14ac:dyDescent="0.25">
      <c r="A142" s="17" t="s">
        <v>132</v>
      </c>
      <c r="B142" s="251" t="s">
        <v>36</v>
      </c>
      <c r="C142" s="47" t="s">
        <v>248</v>
      </c>
      <c r="D142" s="47"/>
      <c r="E142" s="47"/>
      <c r="F142" s="17"/>
      <c r="G142" s="47"/>
      <c r="H142" s="47"/>
      <c r="I142" s="226">
        <f>VLOOKUP(THIETBI[[#This Row],[TT]],$A$96:$I$133,9,0)*1.1</f>
        <v>6039.7850000000008</v>
      </c>
      <c r="J142" s="215"/>
    </row>
    <row r="143" spans="1:10" ht="15.75" x14ac:dyDescent="0.25">
      <c r="A143" s="17" t="s">
        <v>133</v>
      </c>
      <c r="B143" s="251" t="s">
        <v>37</v>
      </c>
      <c r="C143" s="47" t="s">
        <v>248</v>
      </c>
      <c r="D143" s="47"/>
      <c r="E143" s="47"/>
      <c r="F143" s="17"/>
      <c r="G143" s="47"/>
      <c r="H143" s="47"/>
      <c r="I143" s="226">
        <f>VLOOKUP(THIETBI[[#This Row],[TT]],$A$96:$I$133,9,0)*1.1</f>
        <v>967.31250000000011</v>
      </c>
      <c r="J143" s="215"/>
    </row>
    <row r="144" spans="1:10" ht="31.5" x14ac:dyDescent="0.25">
      <c r="A144" s="17" t="s">
        <v>134</v>
      </c>
      <c r="B144" s="251" t="s">
        <v>38</v>
      </c>
      <c r="C144" s="47" t="s">
        <v>248</v>
      </c>
      <c r="D144" s="47"/>
      <c r="E144" s="47"/>
      <c r="F144" s="17"/>
      <c r="G144" s="47"/>
      <c r="H144" s="47"/>
      <c r="I144" s="226">
        <f>VLOOKUP(THIETBI[[#This Row],[TT]],$A$96:$I$133,9,0)*1.1</f>
        <v>873.46249999999998</v>
      </c>
      <c r="J144" s="215"/>
    </row>
    <row r="145" spans="1:10" ht="15.75" x14ac:dyDescent="0.25">
      <c r="A145" s="17" t="s">
        <v>135</v>
      </c>
      <c r="B145" s="251" t="s">
        <v>39</v>
      </c>
      <c r="C145" s="47" t="s">
        <v>248</v>
      </c>
      <c r="D145" s="47"/>
      <c r="E145" s="47"/>
      <c r="F145" s="17"/>
      <c r="G145" s="47"/>
      <c r="H145" s="47"/>
      <c r="I145" s="226">
        <f>VLOOKUP(THIETBI[[#This Row],[TT]],$A$96:$I$133,9,0)*1.1</f>
        <v>193.46250000000001</v>
      </c>
      <c r="J145" s="215"/>
    </row>
    <row r="146" spans="1:10" ht="31.5" x14ac:dyDescent="0.25">
      <c r="A146" s="17" t="s">
        <v>136</v>
      </c>
      <c r="B146" s="251" t="s">
        <v>40</v>
      </c>
      <c r="C146" s="47"/>
      <c r="D146" s="47"/>
      <c r="E146" s="47"/>
      <c r="F146" s="17"/>
      <c r="G146" s="47"/>
      <c r="H146" s="47"/>
      <c r="I146" s="226">
        <f>VLOOKUP(THIETBI[[#This Row],[TT]],$A$96:$I$133,9,0)*1.1</f>
        <v>0</v>
      </c>
      <c r="J146" s="42" t="s">
        <v>611</v>
      </c>
    </row>
    <row r="147" spans="1:10" ht="31.5" x14ac:dyDescent="0.25">
      <c r="A147" s="17" t="s">
        <v>137</v>
      </c>
      <c r="B147" s="251" t="s">
        <v>41</v>
      </c>
      <c r="C147" s="47" t="s">
        <v>248</v>
      </c>
      <c r="D147" s="47"/>
      <c r="E147" s="47"/>
      <c r="F147" s="17"/>
      <c r="G147" s="47"/>
      <c r="H147" s="47"/>
      <c r="I147" s="226">
        <f>VLOOKUP(THIETBI[[#This Row],[TT]],$A$96:$I$133,9,0)*1.1</f>
        <v>590.58749999999998</v>
      </c>
      <c r="J147" s="215"/>
    </row>
    <row r="148" spans="1:10" ht="15.75" x14ac:dyDescent="0.25">
      <c r="A148" s="4" t="s">
        <v>138</v>
      </c>
      <c r="B148" s="143" t="s">
        <v>42</v>
      </c>
      <c r="C148" s="127"/>
      <c r="D148" s="127"/>
      <c r="E148" s="127"/>
      <c r="F148" s="5"/>
      <c r="G148" s="127"/>
      <c r="H148" s="127"/>
      <c r="I148" s="163"/>
      <c r="J148" s="215"/>
    </row>
    <row r="149" spans="1:10" ht="15.75" x14ac:dyDescent="0.25">
      <c r="A149" s="17" t="s">
        <v>139</v>
      </c>
      <c r="B149" s="251" t="s">
        <v>43</v>
      </c>
      <c r="C149" s="47" t="s">
        <v>265</v>
      </c>
      <c r="D149" s="47"/>
      <c r="E149" s="47"/>
      <c r="F149" s="17"/>
      <c r="G149" s="47"/>
      <c r="H149" s="47"/>
      <c r="I149" s="226">
        <f>SUM(I150:I151)</f>
        <v>136.36363636363637</v>
      </c>
      <c r="J149" s="215"/>
    </row>
    <row r="150" spans="1:10" ht="15.75" x14ac:dyDescent="0.25">
      <c r="A150" s="5" t="s">
        <v>89</v>
      </c>
      <c r="B150" s="48" t="s">
        <v>193</v>
      </c>
      <c r="C150" s="127" t="s">
        <v>200</v>
      </c>
      <c r="D150" s="127">
        <v>0.4</v>
      </c>
      <c r="E150" s="127">
        <v>2.4E-2</v>
      </c>
      <c r="F150" s="5">
        <f>VLOOKUP(B150,Table1[[TÊN VẬT TƯ]:[THỜI HẠN]],4,0)</f>
        <v>5</v>
      </c>
      <c r="G150" s="227">
        <f>VLOOKUP(B150,Table1[[TÊN VẬT TƯ]:[THỜI HẠN]],3,0)</f>
        <v>13636363.636363635</v>
      </c>
      <c r="H150" s="228">
        <f t="shared" ref="H150:H151" si="18">G150/F150/500</f>
        <v>5454.545454545454</v>
      </c>
      <c r="I150" s="163">
        <f t="shared" ref="I150:I151" si="19">H150*E150</f>
        <v>130.90909090909091</v>
      </c>
      <c r="J150" s="215"/>
    </row>
    <row r="151" spans="1:10" ht="15.75" x14ac:dyDescent="0.25">
      <c r="A151" s="5" t="s">
        <v>89</v>
      </c>
      <c r="B151" s="48" t="s">
        <v>236</v>
      </c>
      <c r="C151" s="127" t="s">
        <v>107</v>
      </c>
      <c r="D151" s="127">
        <v>0.4</v>
      </c>
      <c r="E151" s="127">
        <v>1.5E-3</v>
      </c>
      <c r="F151" s="5">
        <f>VLOOKUP(B151,Table1[[TÊN VẬT TƯ]:[THỜI HẠN]],4,0)</f>
        <v>5</v>
      </c>
      <c r="G151" s="227">
        <f>VLOOKUP(B151,Table1[[TÊN VẬT TƯ]:[THỜI HẠN]],3,0)</f>
        <v>9090909.0909090899</v>
      </c>
      <c r="H151" s="228">
        <f t="shared" si="18"/>
        <v>3636.3636363636356</v>
      </c>
      <c r="I151" s="163">
        <f t="shared" si="19"/>
        <v>5.4545454545454533</v>
      </c>
      <c r="J151" s="215"/>
    </row>
    <row r="152" spans="1:10" ht="47.25" x14ac:dyDescent="0.25">
      <c r="A152" s="17" t="s">
        <v>140</v>
      </c>
      <c r="B152" s="251" t="s">
        <v>44</v>
      </c>
      <c r="C152" s="47" t="s">
        <v>267</v>
      </c>
      <c r="D152" s="47"/>
      <c r="E152" s="47"/>
      <c r="F152" s="17"/>
      <c r="G152" s="47"/>
      <c r="H152" s="47"/>
      <c r="I152" s="226">
        <f>SUM(I153:I155)</f>
        <v>123.53565818181816</v>
      </c>
      <c r="J152" s="215"/>
    </row>
    <row r="153" spans="1:10" ht="15.75" x14ac:dyDescent="0.25">
      <c r="A153" s="5" t="s">
        <v>89</v>
      </c>
      <c r="B153" s="48" t="s">
        <v>192</v>
      </c>
      <c r="C153" s="127" t="s">
        <v>107</v>
      </c>
      <c r="D153" s="127">
        <v>2.2000000000000002</v>
      </c>
      <c r="E153" s="127">
        <v>4.0000000000000001E-3</v>
      </c>
      <c r="F153" s="5">
        <f>VLOOKUP(B153,Table1[[TÊN VẬT TƯ]:[THỜI HẠN]],4,0)</f>
        <v>8</v>
      </c>
      <c r="G153" s="227">
        <f>VLOOKUP(B153,Table1[[TÊN VẬT TƯ]:[THỜI HẠN]],3,0)</f>
        <v>15000000</v>
      </c>
      <c r="H153" s="228">
        <f t="shared" ref="H153:H155" si="20">G153/F153/500</f>
        <v>3750</v>
      </c>
      <c r="I153" s="163">
        <f t="shared" ref="I153:I155" si="21">H153*E153</f>
        <v>15</v>
      </c>
      <c r="J153" s="215"/>
    </row>
    <row r="154" spans="1:10" ht="15.75" x14ac:dyDescent="0.25">
      <c r="A154" s="5" t="s">
        <v>89</v>
      </c>
      <c r="B154" s="48" t="s">
        <v>193</v>
      </c>
      <c r="C154" s="127" t="s">
        <v>200</v>
      </c>
      <c r="D154" s="127">
        <v>0.4</v>
      </c>
      <c r="E154" s="127">
        <v>1.7999999999999999E-2</v>
      </c>
      <c r="F154" s="5">
        <f>VLOOKUP(B154,Table1[[TÊN VẬT TƯ]:[THỜI HẠN]],4,0)</f>
        <v>5</v>
      </c>
      <c r="G154" s="227">
        <f>VLOOKUP(B154,Table1[[TÊN VẬT TƯ]:[THỜI HẠN]],3,0)</f>
        <v>13636363.636363635</v>
      </c>
      <c r="H154" s="228">
        <f t="shared" si="20"/>
        <v>5454.545454545454</v>
      </c>
      <c r="I154" s="163">
        <f t="shared" si="21"/>
        <v>98.181818181818159</v>
      </c>
      <c r="J154" s="215"/>
    </row>
    <row r="155" spans="1:10" ht="15.75" x14ac:dyDescent="0.25">
      <c r="A155" s="5" t="s">
        <v>89</v>
      </c>
      <c r="B155" s="48" t="s">
        <v>266</v>
      </c>
      <c r="C155" s="127" t="s">
        <v>107</v>
      </c>
      <c r="D155" s="127">
        <v>0.4</v>
      </c>
      <c r="E155" s="127">
        <v>2.9999999999999997E-4</v>
      </c>
      <c r="F155" s="5">
        <f>VLOOKUP(B155,Table1[[TÊN VẬT TƯ]:[THỜI HẠN]],4,0)</f>
        <v>5</v>
      </c>
      <c r="G155" s="227">
        <f>VLOOKUP(B155,Table1[[TÊN VẬT TƯ]:[THỜI HẠN]],3,0)</f>
        <v>86282000</v>
      </c>
      <c r="H155" s="228">
        <f t="shared" si="20"/>
        <v>34512.800000000003</v>
      </c>
      <c r="I155" s="163">
        <f t="shared" si="21"/>
        <v>10.35384</v>
      </c>
      <c r="J155" s="215"/>
    </row>
    <row r="156" spans="1:10" ht="38.25" x14ac:dyDescent="0.25">
      <c r="A156" s="17" t="s">
        <v>141</v>
      </c>
      <c r="B156" s="251" t="s">
        <v>45</v>
      </c>
      <c r="C156" s="47"/>
      <c r="D156" s="47"/>
      <c r="E156" s="47"/>
      <c r="F156" s="17"/>
      <c r="G156" s="47"/>
      <c r="H156" s="47"/>
      <c r="I156" s="226"/>
      <c r="J156" s="42" t="s">
        <v>445</v>
      </c>
    </row>
    <row r="157" spans="1:10" ht="15.75" x14ac:dyDescent="0.25">
      <c r="A157" s="232" t="s">
        <v>228</v>
      </c>
      <c r="B157" s="278" t="s">
        <v>413</v>
      </c>
      <c r="C157" s="231"/>
      <c r="D157" s="231"/>
      <c r="E157" s="231"/>
      <c r="F157" s="232"/>
      <c r="G157" s="231"/>
      <c r="H157" s="231"/>
      <c r="I157" s="322">
        <f>SUM(I158:I165)</f>
        <v>616.63418181818179</v>
      </c>
      <c r="J157" s="165"/>
    </row>
    <row r="158" spans="1:10" ht="15.75" x14ac:dyDescent="0.25">
      <c r="A158" s="159" t="s">
        <v>89</v>
      </c>
      <c r="B158" s="48" t="s">
        <v>224</v>
      </c>
      <c r="C158" s="127" t="s">
        <v>322</v>
      </c>
      <c r="D158" s="127"/>
      <c r="E158" s="127"/>
      <c r="F158" s="5"/>
      <c r="G158" s="127"/>
      <c r="H158" s="127"/>
      <c r="I158" s="163">
        <f>VLOOKUP(THIETBI[[#This Row],[Danh mục thiết bị]],'THIETBI-TT26'!$B$21:$I$44,8,0)</f>
        <v>13.405090909090911</v>
      </c>
      <c r="J158" s="162"/>
    </row>
    <row r="159" spans="1:10" ht="15.75" x14ac:dyDescent="0.25">
      <c r="A159" s="159" t="s">
        <v>89</v>
      </c>
      <c r="B159" s="48" t="s">
        <v>232</v>
      </c>
      <c r="C159" s="127" t="s">
        <v>323</v>
      </c>
      <c r="D159" s="127"/>
      <c r="E159" s="127"/>
      <c r="F159" s="5"/>
      <c r="G159" s="127"/>
      <c r="H159" s="127"/>
      <c r="I159" s="163">
        <f>VLOOKUP(THIETBI[[#This Row],[Danh mục thiết bị]],'THIETBI-TT26'!$B$21:$I$44,8,0)</f>
        <v>223.41818181818181</v>
      </c>
      <c r="J159" s="162"/>
    </row>
    <row r="160" spans="1:10" ht="15.75" x14ac:dyDescent="0.25">
      <c r="A160" s="159" t="s">
        <v>89</v>
      </c>
      <c r="B160" s="48" t="s">
        <v>225</v>
      </c>
      <c r="C160" s="127" t="s">
        <v>322</v>
      </c>
      <c r="D160" s="127"/>
      <c r="E160" s="127"/>
      <c r="F160" s="5"/>
      <c r="G160" s="127"/>
      <c r="H160" s="127"/>
      <c r="I160" s="163">
        <f>VLOOKUP(THIETBI[[#This Row],[Danh mục thiết bị]],'THIETBI-TT26'!$B$21:$I$44,8,0)</f>
        <v>13.405090909090911</v>
      </c>
      <c r="J160" s="162"/>
    </row>
    <row r="161" spans="1:10" ht="15.75" x14ac:dyDescent="0.25">
      <c r="A161" s="159" t="s">
        <v>89</v>
      </c>
      <c r="B161" s="48" t="s">
        <v>233</v>
      </c>
      <c r="C161" s="127" t="s">
        <v>323</v>
      </c>
      <c r="D161" s="127"/>
      <c r="E161" s="127"/>
      <c r="F161" s="5"/>
      <c r="G161" s="127"/>
      <c r="H161" s="127"/>
      <c r="I161" s="163">
        <f>VLOOKUP(THIETBI[[#This Row],[Danh mục thiết bị]],'THIETBI-TT26'!$B$21:$I$44,8,0)</f>
        <v>223.41818181818181</v>
      </c>
      <c r="J161" s="162"/>
    </row>
    <row r="162" spans="1:10" ht="31.5" x14ac:dyDescent="0.25">
      <c r="A162" s="159" t="s">
        <v>89</v>
      </c>
      <c r="B162" s="48" t="s">
        <v>226</v>
      </c>
      <c r="C162" s="127" t="s">
        <v>322</v>
      </c>
      <c r="D162" s="127"/>
      <c r="E162" s="127"/>
      <c r="F162" s="5"/>
      <c r="G162" s="127"/>
      <c r="H162" s="127"/>
      <c r="I162" s="163">
        <f>VLOOKUP(THIETBI[[#This Row],[Danh mục thiết bị]],'THIETBI-TT26'!$B$21:$I$44,8,0)</f>
        <v>13.405090909090911</v>
      </c>
      <c r="J162" s="162"/>
    </row>
    <row r="163" spans="1:10" ht="31.5" x14ac:dyDescent="0.25">
      <c r="A163" s="159" t="s">
        <v>89</v>
      </c>
      <c r="B163" s="48" t="s">
        <v>234</v>
      </c>
      <c r="C163" s="127" t="s">
        <v>323</v>
      </c>
      <c r="D163" s="127"/>
      <c r="E163" s="127"/>
      <c r="F163" s="5"/>
      <c r="G163" s="127"/>
      <c r="H163" s="127"/>
      <c r="I163" s="163">
        <f>VLOOKUP(THIETBI[[#This Row],[Danh mục thiết bị]],'THIETBI-TT26'!$B$21:$I$44,8,0)</f>
        <v>58.088727272727262</v>
      </c>
      <c r="J163" s="162"/>
    </row>
    <row r="164" spans="1:10" ht="15.75" x14ac:dyDescent="0.25">
      <c r="A164" s="159" t="s">
        <v>89</v>
      </c>
      <c r="B164" s="48" t="s">
        <v>612</v>
      </c>
      <c r="C164" s="127" t="s">
        <v>322</v>
      </c>
      <c r="D164" s="127"/>
      <c r="E164" s="127"/>
      <c r="F164" s="5"/>
      <c r="G164" s="127"/>
      <c r="H164" s="127"/>
      <c r="I164" s="376">
        <f>VLOOKUP(THIETBI[[#This Row],[Danh mục thiết bị]],'THIETBI-TT26'!$B$21:$I$44,8,0)</f>
        <v>13.405090909090911</v>
      </c>
      <c r="J164" s="162"/>
    </row>
    <row r="165" spans="1:10" ht="31.5" x14ac:dyDescent="0.25">
      <c r="A165" s="159" t="s">
        <v>89</v>
      </c>
      <c r="B165" s="48" t="s">
        <v>227</v>
      </c>
      <c r="C165" s="127" t="s">
        <v>323</v>
      </c>
      <c r="D165" s="127"/>
      <c r="E165" s="127"/>
      <c r="F165" s="5"/>
      <c r="G165" s="127"/>
      <c r="H165" s="127"/>
      <c r="I165" s="163">
        <f>VLOOKUP(THIETBI[[#This Row],[Danh mục thiết bị]],'THIETBI-TT26'!$B$21:$I$44,8,0)</f>
        <v>58.088727272727262</v>
      </c>
      <c r="J165" s="162"/>
    </row>
    <row r="166" spans="1:10" ht="15.75" x14ac:dyDescent="0.25">
      <c r="A166" s="232" t="s">
        <v>229</v>
      </c>
      <c r="B166" s="278" t="s">
        <v>414</v>
      </c>
      <c r="C166" s="231"/>
      <c r="D166" s="231"/>
      <c r="E166" s="231"/>
      <c r="F166" s="232"/>
      <c r="G166" s="231"/>
      <c r="H166" s="231"/>
      <c r="I166" s="322">
        <f>SUM(I167:I174)</f>
        <v>775.30909090909086</v>
      </c>
      <c r="J166" s="165"/>
    </row>
    <row r="167" spans="1:10" ht="15.75" x14ac:dyDescent="0.25">
      <c r="A167" s="159" t="s">
        <v>89</v>
      </c>
      <c r="B167" s="48" t="s">
        <v>224</v>
      </c>
      <c r="C167" s="127" t="s">
        <v>322</v>
      </c>
      <c r="D167" s="127"/>
      <c r="E167" s="127"/>
      <c r="F167" s="5"/>
      <c r="G167" s="127"/>
      <c r="H167" s="127"/>
      <c r="I167" s="163">
        <f>VLOOKUP(THIETBI[[#This Row],[Danh mục thiết bị]],'THIETBI-TT26'!$B$46:$I$67,8,0)</f>
        <v>16.854545454545455</v>
      </c>
      <c r="J167" s="162"/>
    </row>
    <row r="168" spans="1:10" ht="15.75" x14ac:dyDescent="0.25">
      <c r="A168" s="159" t="s">
        <v>89</v>
      </c>
      <c r="B168" s="48" t="s">
        <v>232</v>
      </c>
      <c r="C168" s="127" t="s">
        <v>323</v>
      </c>
      <c r="D168" s="127"/>
      <c r="E168" s="127"/>
      <c r="F168" s="5"/>
      <c r="G168" s="127"/>
      <c r="H168" s="127"/>
      <c r="I168" s="163">
        <f>VLOOKUP(THIETBI[[#This Row],[Danh mục thiết bị]],'THIETBI-TT26'!$B$46:$I$67,8,0)</f>
        <v>280.90909090909088</v>
      </c>
      <c r="J168" s="162"/>
    </row>
    <row r="169" spans="1:10" ht="15.75" x14ac:dyDescent="0.25">
      <c r="A169" s="159" t="s">
        <v>89</v>
      </c>
      <c r="B169" s="48" t="s">
        <v>225</v>
      </c>
      <c r="C169" s="127" t="s">
        <v>322</v>
      </c>
      <c r="D169" s="127"/>
      <c r="E169" s="127"/>
      <c r="F169" s="5"/>
      <c r="G169" s="127"/>
      <c r="H169" s="127"/>
      <c r="I169" s="163">
        <f>VLOOKUP(THIETBI[[#This Row],[Danh mục thiết bị]],'THIETBI-TT26'!$B$46:$I$67,8,0)</f>
        <v>16.854545454545455</v>
      </c>
      <c r="J169" s="162"/>
    </row>
    <row r="170" spans="1:10" ht="15.75" x14ac:dyDescent="0.25">
      <c r="A170" s="159" t="s">
        <v>89</v>
      </c>
      <c r="B170" s="48" t="s">
        <v>233</v>
      </c>
      <c r="C170" s="127" t="s">
        <v>323</v>
      </c>
      <c r="D170" s="127"/>
      <c r="E170" s="127"/>
      <c r="F170" s="5"/>
      <c r="G170" s="127"/>
      <c r="H170" s="127"/>
      <c r="I170" s="163">
        <f>VLOOKUP(THIETBI[[#This Row],[Danh mục thiết bị]],'THIETBI-TT26'!$B$46:$I$67,8,0)</f>
        <v>280.90909090909088</v>
      </c>
      <c r="J170" s="162"/>
    </row>
    <row r="171" spans="1:10" ht="31.5" x14ac:dyDescent="0.25">
      <c r="A171" s="159" t="s">
        <v>89</v>
      </c>
      <c r="B171" s="48" t="s">
        <v>226</v>
      </c>
      <c r="C171" s="127" t="s">
        <v>322</v>
      </c>
      <c r="D171" s="127"/>
      <c r="E171" s="127"/>
      <c r="F171" s="5"/>
      <c r="G171" s="127"/>
      <c r="H171" s="127"/>
      <c r="I171" s="163">
        <f>VLOOKUP(THIETBI[[#This Row],[Danh mục thiết bị]],'THIETBI-TT26'!$B$46:$I$67,8,0)</f>
        <v>16.854545454545455</v>
      </c>
      <c r="J171" s="162"/>
    </row>
    <row r="172" spans="1:10" ht="31.5" x14ac:dyDescent="0.25">
      <c r="A172" s="159" t="s">
        <v>89</v>
      </c>
      <c r="B172" s="48" t="s">
        <v>234</v>
      </c>
      <c r="C172" s="127" t="s">
        <v>323</v>
      </c>
      <c r="D172" s="127"/>
      <c r="E172" s="127"/>
      <c r="F172" s="5"/>
      <c r="G172" s="127"/>
      <c r="H172" s="127"/>
      <c r="I172" s="163">
        <f>VLOOKUP(THIETBI[[#This Row],[Danh mục thiết bị]],'THIETBI-TT26'!$B$46:$I$67,8,0)</f>
        <v>73.036363636363618</v>
      </c>
      <c r="J172" s="162"/>
    </row>
    <row r="173" spans="1:10" ht="15.75" x14ac:dyDescent="0.25">
      <c r="A173" s="159" t="s">
        <v>89</v>
      </c>
      <c r="B173" s="48" t="s">
        <v>612</v>
      </c>
      <c r="C173" s="127" t="s">
        <v>322</v>
      </c>
      <c r="D173" s="127"/>
      <c r="E173" s="127"/>
      <c r="F173" s="5"/>
      <c r="G173" s="127"/>
      <c r="H173" s="127"/>
      <c r="I173" s="376">
        <f>VLOOKUP(THIETBI[[#This Row],[Danh mục thiết bị]],'THIETBI-TT26'!$B$46:$I$67,8,0)</f>
        <v>16.854545454545455</v>
      </c>
      <c r="J173" s="162"/>
    </row>
    <row r="174" spans="1:10" ht="31.5" x14ac:dyDescent="0.25">
      <c r="A174" s="159" t="s">
        <v>89</v>
      </c>
      <c r="B174" s="48" t="s">
        <v>227</v>
      </c>
      <c r="C174" s="127" t="s">
        <v>323</v>
      </c>
      <c r="D174" s="127"/>
      <c r="E174" s="127"/>
      <c r="F174" s="5"/>
      <c r="G174" s="127"/>
      <c r="H174" s="127"/>
      <c r="I174" s="163">
        <f>VLOOKUP(THIETBI[[#This Row],[Danh mục thiết bị]],'THIETBI-TT26'!$B$46:$I$67,8,0)</f>
        <v>73.036363636363618</v>
      </c>
      <c r="J174" s="162"/>
    </row>
    <row r="175" spans="1:10" ht="15.75" x14ac:dyDescent="0.25">
      <c r="A175" s="232" t="s">
        <v>230</v>
      </c>
      <c r="B175" s="278" t="s">
        <v>415</v>
      </c>
      <c r="C175" s="231"/>
      <c r="D175" s="231"/>
      <c r="E175" s="231"/>
      <c r="F175" s="232"/>
      <c r="G175" s="231"/>
      <c r="H175" s="231"/>
      <c r="I175" s="322">
        <f>SUM(I176:I183)</f>
        <v>1016.7087272727271</v>
      </c>
      <c r="J175" s="165"/>
    </row>
    <row r="176" spans="1:10" ht="15.75" x14ac:dyDescent="0.25">
      <c r="A176" s="159" t="s">
        <v>89</v>
      </c>
      <c r="B176" s="48" t="s">
        <v>224</v>
      </c>
      <c r="C176" s="127" t="s">
        <v>322</v>
      </c>
      <c r="D176" s="127"/>
      <c r="E176" s="127"/>
      <c r="F176" s="5"/>
      <c r="G176" s="127"/>
      <c r="H176" s="127"/>
      <c r="I176" s="163">
        <f>VLOOKUP(THIETBI[[#This Row],[Danh mục thiết bị]],'THIETBI-TT26'!$B$71:$I$92,8,0)</f>
        <v>22.102363636363638</v>
      </c>
      <c r="J176" s="162"/>
    </row>
    <row r="177" spans="1:10" ht="15.75" x14ac:dyDescent="0.25">
      <c r="A177" s="159" t="s">
        <v>89</v>
      </c>
      <c r="B177" s="48" t="s">
        <v>232</v>
      </c>
      <c r="C177" s="127" t="s">
        <v>323</v>
      </c>
      <c r="D177" s="127"/>
      <c r="E177" s="127"/>
      <c r="F177" s="5"/>
      <c r="G177" s="127"/>
      <c r="H177" s="127"/>
      <c r="I177" s="163">
        <f>VLOOKUP(THIETBI[[#This Row],[Danh mục thiết bị]],'THIETBI-TT26'!$B$71:$I$92,8,0)</f>
        <v>368.37272727272722</v>
      </c>
      <c r="J177" s="162"/>
    </row>
    <row r="178" spans="1:10" ht="15.75" x14ac:dyDescent="0.25">
      <c r="A178" s="159" t="s">
        <v>89</v>
      </c>
      <c r="B178" s="48" t="s">
        <v>225</v>
      </c>
      <c r="C178" s="127" t="s">
        <v>322</v>
      </c>
      <c r="D178" s="127"/>
      <c r="E178" s="127"/>
      <c r="F178" s="5"/>
      <c r="G178" s="127"/>
      <c r="H178" s="127"/>
      <c r="I178" s="163">
        <f>VLOOKUP(THIETBI[[#This Row],[Danh mục thiết bị]],'THIETBI-TT26'!$B$71:$I$92,8,0)</f>
        <v>22.102363636363638</v>
      </c>
      <c r="J178" s="162"/>
    </row>
    <row r="179" spans="1:10" ht="15.75" x14ac:dyDescent="0.25">
      <c r="A179" s="159" t="s">
        <v>89</v>
      </c>
      <c r="B179" s="48" t="s">
        <v>233</v>
      </c>
      <c r="C179" s="127" t="s">
        <v>323</v>
      </c>
      <c r="D179" s="127"/>
      <c r="E179" s="127"/>
      <c r="F179" s="5"/>
      <c r="G179" s="127"/>
      <c r="H179" s="127"/>
      <c r="I179" s="163">
        <f>VLOOKUP(THIETBI[[#This Row],[Danh mục thiết bị]],'THIETBI-TT26'!$B$71:$I$92,8,0)</f>
        <v>368.37272727272722</v>
      </c>
      <c r="J179" s="162"/>
    </row>
    <row r="180" spans="1:10" ht="31.5" x14ac:dyDescent="0.25">
      <c r="A180" s="159" t="s">
        <v>89</v>
      </c>
      <c r="B180" s="48" t="s">
        <v>226</v>
      </c>
      <c r="C180" s="127" t="s">
        <v>322</v>
      </c>
      <c r="D180" s="127"/>
      <c r="E180" s="127"/>
      <c r="F180" s="5"/>
      <c r="G180" s="127"/>
      <c r="H180" s="127"/>
      <c r="I180" s="163">
        <f>VLOOKUP(THIETBI[[#This Row],[Danh mục thiết bị]],'THIETBI-TT26'!$B$71:$I$92,8,0)</f>
        <v>22.102363636363638</v>
      </c>
      <c r="J180" s="162"/>
    </row>
    <row r="181" spans="1:10" ht="31.5" x14ac:dyDescent="0.25">
      <c r="A181" s="159" t="s">
        <v>89</v>
      </c>
      <c r="B181" s="48" t="s">
        <v>234</v>
      </c>
      <c r="C181" s="127" t="s">
        <v>323</v>
      </c>
      <c r="D181" s="127"/>
      <c r="E181" s="127"/>
      <c r="F181" s="5"/>
      <c r="G181" s="127"/>
      <c r="H181" s="127"/>
      <c r="I181" s="163">
        <f>VLOOKUP(THIETBI[[#This Row],[Danh mục thiết bị]],'THIETBI-TT26'!$B$71:$I$92,8,0)</f>
        <v>95.776909090909072</v>
      </c>
      <c r="J181" s="162"/>
    </row>
    <row r="182" spans="1:10" ht="15.75" x14ac:dyDescent="0.25">
      <c r="A182" s="159" t="s">
        <v>89</v>
      </c>
      <c r="B182" s="48" t="s">
        <v>612</v>
      </c>
      <c r="C182" s="127" t="s">
        <v>322</v>
      </c>
      <c r="D182" s="127"/>
      <c r="E182" s="127"/>
      <c r="F182" s="5"/>
      <c r="G182" s="127"/>
      <c r="H182" s="127"/>
      <c r="I182" s="376">
        <f>VLOOKUP(THIETBI[[#This Row],[Danh mục thiết bị]],'THIETBI-TT26'!$B$71:$I$92,8,0)</f>
        <v>22.102363636363638</v>
      </c>
      <c r="J182" s="162"/>
    </row>
    <row r="183" spans="1:10" ht="31.5" x14ac:dyDescent="0.25">
      <c r="A183" s="159" t="s">
        <v>89</v>
      </c>
      <c r="B183" s="48" t="s">
        <v>227</v>
      </c>
      <c r="C183" s="127" t="s">
        <v>323</v>
      </c>
      <c r="D183" s="127"/>
      <c r="E183" s="127"/>
      <c r="F183" s="5"/>
      <c r="G183" s="127"/>
      <c r="H183" s="127"/>
      <c r="I183" s="163">
        <f>VLOOKUP(THIETBI[[#This Row],[Danh mục thiết bị]],'THIETBI-TT26'!$B$71:$I$92,8,0)</f>
        <v>95.776909090909072</v>
      </c>
      <c r="J183" s="162"/>
    </row>
    <row r="184" spans="1:10" ht="15.75" x14ac:dyDescent="0.25">
      <c r="A184" s="17" t="s">
        <v>142</v>
      </c>
      <c r="B184" s="251" t="s">
        <v>46</v>
      </c>
      <c r="C184" s="47"/>
      <c r="D184" s="47"/>
      <c r="E184" s="47"/>
      <c r="F184" s="17"/>
      <c r="G184" s="47"/>
      <c r="H184" s="47"/>
      <c r="I184" s="226">
        <v>0</v>
      </c>
      <c r="J184" s="215" t="s">
        <v>611</v>
      </c>
    </row>
    <row r="185" spans="1:10" ht="15.75" x14ac:dyDescent="0.25">
      <c r="A185" s="17" t="s">
        <v>143</v>
      </c>
      <c r="B185" s="251" t="s">
        <v>47</v>
      </c>
      <c r="C185" s="47"/>
      <c r="D185" s="47"/>
      <c r="E185" s="47"/>
      <c r="F185" s="17"/>
      <c r="G185" s="47"/>
      <c r="H185" s="47"/>
      <c r="I185" s="226">
        <v>0</v>
      </c>
      <c r="J185" s="215" t="s">
        <v>54</v>
      </c>
    </row>
    <row r="186" spans="1:10" ht="15.75" x14ac:dyDescent="0.25">
      <c r="A186" s="4" t="s">
        <v>144</v>
      </c>
      <c r="B186" s="143" t="s">
        <v>48</v>
      </c>
      <c r="C186" s="127"/>
      <c r="D186" s="127"/>
      <c r="E186" s="127"/>
      <c r="F186" s="5"/>
      <c r="G186" s="127"/>
      <c r="H186" s="127"/>
      <c r="I186" s="163"/>
      <c r="J186" s="215" t="s">
        <v>275</v>
      </c>
    </row>
    <row r="187" spans="1:10" ht="15.75" x14ac:dyDescent="0.25">
      <c r="A187" s="236"/>
      <c r="B187" s="278" t="s">
        <v>272</v>
      </c>
      <c r="C187" s="223"/>
      <c r="D187" s="223"/>
      <c r="E187" s="223"/>
      <c r="F187" s="236"/>
      <c r="G187" s="223"/>
      <c r="H187" s="223"/>
      <c r="I187" s="322">
        <f>I188+I190</f>
        <v>878.40909090909088</v>
      </c>
      <c r="J187" s="233" t="s">
        <v>491</v>
      </c>
    </row>
    <row r="188" spans="1:10" ht="18.75" x14ac:dyDescent="0.25">
      <c r="A188" s="17" t="s">
        <v>145</v>
      </c>
      <c r="B188" s="251" t="s">
        <v>48</v>
      </c>
      <c r="C188" s="47" t="s">
        <v>581</v>
      </c>
      <c r="D188" s="255" t="s">
        <v>581</v>
      </c>
      <c r="E188" s="47"/>
      <c r="F188" s="17"/>
      <c r="G188" s="47"/>
      <c r="H188" s="47"/>
      <c r="I188" s="226">
        <f>I189</f>
        <v>75</v>
      </c>
      <c r="J188" s="215"/>
    </row>
    <row r="189" spans="1:10" ht="15.75" x14ac:dyDescent="0.25">
      <c r="A189" s="5" t="s">
        <v>89</v>
      </c>
      <c r="B189" s="48" t="s">
        <v>192</v>
      </c>
      <c r="C189" s="127" t="s">
        <v>107</v>
      </c>
      <c r="D189" s="127">
        <v>2.2000000000000002</v>
      </c>
      <c r="E189" s="127">
        <v>0.02</v>
      </c>
      <c r="F189" s="5">
        <f>VLOOKUP(B189,Table1[[TÊN VẬT TƯ]:[THỜI HẠN]],4,0)</f>
        <v>8</v>
      </c>
      <c r="G189" s="227">
        <f>VLOOKUP(B189,Table1[[TÊN VẬT TƯ]:[THỜI HẠN]],3,0)</f>
        <v>15000000</v>
      </c>
      <c r="H189" s="228">
        <f>G189/F189/500</f>
        <v>3750</v>
      </c>
      <c r="I189" s="163">
        <f>H189*E189</f>
        <v>75</v>
      </c>
      <c r="J189" s="215"/>
    </row>
    <row r="190" spans="1:10" ht="15.75" x14ac:dyDescent="0.25">
      <c r="A190" s="17" t="s">
        <v>146</v>
      </c>
      <c r="B190" s="251" t="s">
        <v>49</v>
      </c>
      <c r="C190" s="47" t="s">
        <v>283</v>
      </c>
      <c r="D190" s="47" t="s">
        <v>283</v>
      </c>
      <c r="E190" s="47"/>
      <c r="F190" s="17"/>
      <c r="G190" s="47"/>
      <c r="H190" s="47"/>
      <c r="I190" s="226">
        <f>SUM(I191:I193)</f>
        <v>803.40909090909088</v>
      </c>
      <c r="J190" s="215"/>
    </row>
    <row r="191" spans="1:10" ht="15.75" x14ac:dyDescent="0.25">
      <c r="A191" s="5" t="s">
        <v>89</v>
      </c>
      <c r="B191" s="48" t="s">
        <v>192</v>
      </c>
      <c r="C191" s="127" t="s">
        <v>107</v>
      </c>
      <c r="D191" s="127">
        <v>2.2000000000000002</v>
      </c>
      <c r="E191" s="127">
        <v>0.03</v>
      </c>
      <c r="F191" s="5">
        <f>VLOOKUP(B191,Table1[[TÊN VẬT TƯ]:[THỜI HẠN]],4,0)</f>
        <v>8</v>
      </c>
      <c r="G191" s="227">
        <f>VLOOKUP(B191,Table1[[TÊN VẬT TƯ]:[THỜI HẠN]],3,0)</f>
        <v>15000000</v>
      </c>
      <c r="H191" s="228">
        <f t="shared" ref="H191:H193" si="22">G191/F191/500</f>
        <v>3750</v>
      </c>
      <c r="I191" s="163">
        <f t="shared" ref="I191:I193" si="23">H191*E191</f>
        <v>112.5</v>
      </c>
      <c r="J191" s="215"/>
    </row>
    <row r="192" spans="1:10" ht="15.75" x14ac:dyDescent="0.25">
      <c r="A192" s="5" t="s">
        <v>89</v>
      </c>
      <c r="B192" s="48" t="s">
        <v>193</v>
      </c>
      <c r="C192" s="127" t="s">
        <v>200</v>
      </c>
      <c r="D192" s="127">
        <v>0.4</v>
      </c>
      <c r="E192" s="127">
        <v>0.12</v>
      </c>
      <c r="F192" s="5">
        <f>VLOOKUP(B192,Table1[[TÊN VẬT TƯ]:[THỜI HẠN]],4,0)</f>
        <v>5</v>
      </c>
      <c r="G192" s="227">
        <f>VLOOKUP(B192,Table1[[TÊN VẬT TƯ]:[THỜI HẠN]],3,0)</f>
        <v>13636363.636363635</v>
      </c>
      <c r="H192" s="228">
        <f t="shared" si="22"/>
        <v>5454.545454545454</v>
      </c>
      <c r="I192" s="163">
        <f t="shared" si="23"/>
        <v>654.5454545454545</v>
      </c>
      <c r="J192" s="215"/>
    </row>
    <row r="193" spans="1:10" ht="15.75" x14ac:dyDescent="0.25">
      <c r="A193" s="5" t="s">
        <v>89</v>
      </c>
      <c r="B193" s="48" t="s">
        <v>236</v>
      </c>
      <c r="C193" s="127" t="s">
        <v>107</v>
      </c>
      <c r="D193" s="127">
        <v>0.4</v>
      </c>
      <c r="E193" s="127">
        <v>0.01</v>
      </c>
      <c r="F193" s="5">
        <f>VLOOKUP(B193,Table1[[TÊN VẬT TƯ]:[THỜI HẠN]],4,0)</f>
        <v>5</v>
      </c>
      <c r="G193" s="227">
        <f>VLOOKUP(B193,Table1[[TÊN VẬT TƯ]:[THỜI HẠN]],3,0)</f>
        <v>9090909.0909090899</v>
      </c>
      <c r="H193" s="228">
        <f t="shared" si="22"/>
        <v>3636.3636363636356</v>
      </c>
      <c r="I193" s="163">
        <f t="shared" si="23"/>
        <v>36.36363636363636</v>
      </c>
      <c r="J193" s="215"/>
    </row>
    <row r="194" spans="1:10" ht="15.75" x14ac:dyDescent="0.25">
      <c r="A194" s="236"/>
      <c r="B194" s="278" t="s">
        <v>273</v>
      </c>
      <c r="C194" s="223"/>
      <c r="D194" s="223"/>
      <c r="E194" s="223"/>
      <c r="F194" s="236"/>
      <c r="G194" s="223"/>
      <c r="H194" s="223"/>
      <c r="I194" s="322">
        <f>SUM(I195:I196)</f>
        <v>1054.090909090909</v>
      </c>
      <c r="J194" s="233" t="s">
        <v>489</v>
      </c>
    </row>
    <row r="195" spans="1:10" ht="18.75" x14ac:dyDescent="0.25">
      <c r="A195" s="17" t="s">
        <v>145</v>
      </c>
      <c r="B195" s="251" t="s">
        <v>48</v>
      </c>
      <c r="C195" s="47" t="s">
        <v>581</v>
      </c>
      <c r="D195" s="255" t="s">
        <v>581</v>
      </c>
      <c r="E195" s="47"/>
      <c r="F195" s="17"/>
      <c r="G195" s="47"/>
      <c r="H195" s="47"/>
      <c r="I195" s="226">
        <f>I188*1.2</f>
        <v>90</v>
      </c>
      <c r="J195" s="215"/>
    </row>
    <row r="196" spans="1:10" ht="15.75" x14ac:dyDescent="0.25">
      <c r="A196" s="17" t="s">
        <v>146</v>
      </c>
      <c r="B196" s="251" t="s">
        <v>49</v>
      </c>
      <c r="C196" s="47" t="s">
        <v>283</v>
      </c>
      <c r="D196" s="47" t="s">
        <v>283</v>
      </c>
      <c r="E196" s="47"/>
      <c r="F196" s="17"/>
      <c r="G196" s="47"/>
      <c r="H196" s="47"/>
      <c r="I196" s="226">
        <f>I190*1.2</f>
        <v>964.09090909090901</v>
      </c>
      <c r="J196" s="215"/>
    </row>
    <row r="197" spans="1:10" ht="15.75" x14ac:dyDescent="0.25">
      <c r="A197" s="236"/>
      <c r="B197" s="278" t="s">
        <v>274</v>
      </c>
      <c r="C197" s="223"/>
      <c r="D197" s="223"/>
      <c r="E197" s="223"/>
      <c r="F197" s="236"/>
      <c r="G197" s="223"/>
      <c r="H197" s="223"/>
      <c r="I197" s="322">
        <f>SUM(I198:I199)</f>
        <v>1317.6136363636363</v>
      </c>
      <c r="J197" s="233" t="s">
        <v>490</v>
      </c>
    </row>
    <row r="198" spans="1:10" ht="18.75" x14ac:dyDescent="0.25">
      <c r="A198" s="17" t="s">
        <v>145</v>
      </c>
      <c r="B198" s="251" t="s">
        <v>48</v>
      </c>
      <c r="C198" s="47" t="s">
        <v>581</v>
      </c>
      <c r="D198" s="255" t="s">
        <v>581</v>
      </c>
      <c r="E198" s="47"/>
      <c r="F198" s="17"/>
      <c r="G198" s="47"/>
      <c r="H198" s="47"/>
      <c r="I198" s="381">
        <f>I188*1.5</f>
        <v>112.5</v>
      </c>
      <c r="J198" s="215"/>
    </row>
    <row r="199" spans="1:10" ht="15.75" x14ac:dyDescent="0.25">
      <c r="A199" s="17" t="s">
        <v>146</v>
      </c>
      <c r="B199" s="251" t="s">
        <v>49</v>
      </c>
      <c r="C199" s="47" t="s">
        <v>283</v>
      </c>
      <c r="D199" s="47" t="s">
        <v>283</v>
      </c>
      <c r="E199" s="47"/>
      <c r="F199" s="17"/>
      <c r="G199" s="47"/>
      <c r="H199" s="47"/>
      <c r="I199" s="226">
        <f>I190*1.5</f>
        <v>1205.1136363636363</v>
      </c>
      <c r="J199" s="215"/>
    </row>
    <row r="200" spans="1:10" ht="15.75" x14ac:dyDescent="0.25">
      <c r="A200" s="4" t="s">
        <v>296</v>
      </c>
      <c r="B200" s="143" t="s">
        <v>50</v>
      </c>
      <c r="C200" s="127"/>
      <c r="D200" s="127"/>
      <c r="E200" s="127"/>
      <c r="F200" s="5"/>
      <c r="G200" s="127"/>
      <c r="H200" s="127"/>
      <c r="I200" s="229">
        <v>0</v>
      </c>
      <c r="J200" s="241" t="s">
        <v>611</v>
      </c>
    </row>
    <row r="201" spans="1:10" ht="15.75" x14ac:dyDescent="0.25">
      <c r="A201" s="236"/>
      <c r="B201" s="278" t="s">
        <v>272</v>
      </c>
      <c r="C201" s="223"/>
      <c r="D201" s="223"/>
      <c r="E201" s="223"/>
      <c r="F201" s="236"/>
      <c r="G201" s="223"/>
      <c r="H201" s="223"/>
      <c r="I201" s="237">
        <f>SUM(I202:I203)</f>
        <v>0</v>
      </c>
      <c r="J201" s="233" t="s">
        <v>491</v>
      </c>
    </row>
    <row r="202" spans="1:10" ht="15.75" x14ac:dyDescent="0.25">
      <c r="A202" s="17" t="s">
        <v>147</v>
      </c>
      <c r="B202" s="251" t="s">
        <v>50</v>
      </c>
      <c r="C202" s="47"/>
      <c r="D202" s="47"/>
      <c r="E202" s="47"/>
      <c r="F202" s="17"/>
      <c r="G202" s="47"/>
      <c r="H202" s="47"/>
      <c r="I202" s="226">
        <v>0</v>
      </c>
      <c r="J202" s="215"/>
    </row>
    <row r="203" spans="1:10" ht="15.75" x14ac:dyDescent="0.25">
      <c r="A203" s="17" t="s">
        <v>148</v>
      </c>
      <c r="B203" s="251" t="s">
        <v>51</v>
      </c>
      <c r="C203" s="47"/>
      <c r="D203" s="47"/>
      <c r="E203" s="47"/>
      <c r="F203" s="17"/>
      <c r="G203" s="47"/>
      <c r="H203" s="47"/>
      <c r="I203" s="226">
        <v>0</v>
      </c>
      <c r="J203" s="215"/>
    </row>
    <row r="204" spans="1:10" ht="15.75" x14ac:dyDescent="0.25">
      <c r="A204" s="236"/>
      <c r="B204" s="278" t="s">
        <v>273</v>
      </c>
      <c r="C204" s="223"/>
      <c r="D204" s="223"/>
      <c r="E204" s="223"/>
      <c r="F204" s="236"/>
      <c r="G204" s="223"/>
      <c r="H204" s="223"/>
      <c r="I204" s="237">
        <f>SUM(I205:I206)</f>
        <v>0</v>
      </c>
      <c r="J204" s="233" t="s">
        <v>489</v>
      </c>
    </row>
    <row r="205" spans="1:10" ht="15.75" x14ac:dyDescent="0.25">
      <c r="A205" s="17" t="s">
        <v>147</v>
      </c>
      <c r="B205" s="251" t="s">
        <v>50</v>
      </c>
      <c r="C205" s="47"/>
      <c r="D205" s="47"/>
      <c r="E205" s="47"/>
      <c r="F205" s="17"/>
      <c r="G205" s="47"/>
      <c r="H205" s="47"/>
      <c r="I205" s="226">
        <v>0</v>
      </c>
      <c r="J205" s="215"/>
    </row>
    <row r="206" spans="1:10" ht="15.75" x14ac:dyDescent="0.25">
      <c r="A206" s="17" t="s">
        <v>148</v>
      </c>
      <c r="B206" s="251" t="s">
        <v>51</v>
      </c>
      <c r="C206" s="47"/>
      <c r="D206" s="47"/>
      <c r="E206" s="47"/>
      <c r="F206" s="17"/>
      <c r="G206" s="47"/>
      <c r="H206" s="47"/>
      <c r="I206" s="226">
        <v>0</v>
      </c>
      <c r="J206" s="215"/>
    </row>
    <row r="207" spans="1:10" ht="15.75" x14ac:dyDescent="0.25">
      <c r="A207" s="236"/>
      <c r="B207" s="278" t="s">
        <v>274</v>
      </c>
      <c r="C207" s="223"/>
      <c r="D207" s="223"/>
      <c r="E207" s="223"/>
      <c r="F207" s="236"/>
      <c r="G207" s="223"/>
      <c r="H207" s="223"/>
      <c r="I207" s="237">
        <f>SUM(I208:I209)</f>
        <v>0</v>
      </c>
      <c r="J207" s="233" t="s">
        <v>490</v>
      </c>
    </row>
    <row r="208" spans="1:10" ht="15.75" x14ac:dyDescent="0.25">
      <c r="A208" s="17" t="s">
        <v>147</v>
      </c>
      <c r="B208" s="251" t="s">
        <v>50</v>
      </c>
      <c r="C208" s="47"/>
      <c r="D208" s="47"/>
      <c r="E208" s="47"/>
      <c r="F208" s="17"/>
      <c r="G208" s="47"/>
      <c r="H208" s="47"/>
      <c r="I208" s="226">
        <v>0</v>
      </c>
      <c r="J208" s="215"/>
    </row>
    <row r="209" spans="1:10" ht="15.75" x14ac:dyDescent="0.25">
      <c r="A209" s="17" t="s">
        <v>148</v>
      </c>
      <c r="B209" s="251" t="s">
        <v>51</v>
      </c>
      <c r="C209" s="47"/>
      <c r="D209" s="47"/>
      <c r="E209" s="47"/>
      <c r="F209" s="17"/>
      <c r="G209" s="47"/>
      <c r="H209" s="47"/>
      <c r="I209" s="226">
        <v>0</v>
      </c>
      <c r="J209" s="215"/>
    </row>
    <row r="210" spans="1:10" ht="15.75" x14ac:dyDescent="0.25">
      <c r="A210" s="4" t="s">
        <v>161</v>
      </c>
      <c r="B210" s="143" t="s">
        <v>57</v>
      </c>
      <c r="C210" s="127"/>
      <c r="D210" s="127"/>
      <c r="E210" s="127"/>
      <c r="F210" s="5"/>
      <c r="G210" s="127"/>
      <c r="H210" s="127"/>
      <c r="I210" s="377">
        <f>I211+I212+I215+I216+I217</f>
        <v>1620.5940436363637</v>
      </c>
      <c r="J210" s="215"/>
    </row>
    <row r="211" spans="1:10" ht="15.75" x14ac:dyDescent="0.25">
      <c r="A211" s="17" t="s">
        <v>149</v>
      </c>
      <c r="B211" s="251" t="s">
        <v>58</v>
      </c>
      <c r="C211" s="47"/>
      <c r="D211" s="47"/>
      <c r="E211" s="47"/>
      <c r="F211" s="17"/>
      <c r="G211" s="47"/>
      <c r="H211" s="47"/>
      <c r="I211" s="226">
        <v>0</v>
      </c>
      <c r="J211" s="215" t="s">
        <v>611</v>
      </c>
    </row>
    <row r="212" spans="1:10" ht="15.75" x14ac:dyDescent="0.25">
      <c r="A212" s="17" t="s">
        <v>150</v>
      </c>
      <c r="B212" s="251" t="s">
        <v>59</v>
      </c>
      <c r="C212" s="47" t="s">
        <v>265</v>
      </c>
      <c r="D212" s="47"/>
      <c r="E212" s="47"/>
      <c r="F212" s="17"/>
      <c r="G212" s="47"/>
      <c r="H212" s="47"/>
      <c r="I212" s="226">
        <f>I213+I214</f>
        <v>1373.5227272727273</v>
      </c>
      <c r="J212" s="238"/>
    </row>
    <row r="213" spans="1:10" ht="15.75" x14ac:dyDescent="0.25">
      <c r="A213" s="5" t="s">
        <v>89</v>
      </c>
      <c r="B213" s="48" t="s">
        <v>192</v>
      </c>
      <c r="C213" s="127" t="s">
        <v>107</v>
      </c>
      <c r="D213" s="127">
        <v>2.2000000000000002</v>
      </c>
      <c r="E213" s="127">
        <v>8.6999999999999994E-2</v>
      </c>
      <c r="F213" s="5">
        <f>VLOOKUP(B213,Table1[[TÊN VẬT TƯ]:[THỜI HẠN]],4,0)</f>
        <v>8</v>
      </c>
      <c r="G213" s="227">
        <f>VLOOKUP(B213,Table1[[TÊN VẬT TƯ]:[THỜI HẠN]],3,0)</f>
        <v>15000000</v>
      </c>
      <c r="H213" s="228">
        <f t="shared" ref="H213:H214" si="24">G213/F213/500</f>
        <v>3750</v>
      </c>
      <c r="I213" s="163">
        <f t="shared" ref="I213:I214" si="25">H213*E213</f>
        <v>326.25</v>
      </c>
      <c r="J213" s="238"/>
    </row>
    <row r="214" spans="1:10" ht="15.75" x14ac:dyDescent="0.25">
      <c r="A214" s="5" t="s">
        <v>89</v>
      </c>
      <c r="B214" s="48" t="s">
        <v>193</v>
      </c>
      <c r="C214" s="127" t="s">
        <v>200</v>
      </c>
      <c r="D214" s="127">
        <v>0.4</v>
      </c>
      <c r="E214" s="127">
        <v>0.192</v>
      </c>
      <c r="F214" s="5">
        <f>VLOOKUP(B214,Table1[[TÊN VẬT TƯ]:[THỜI HẠN]],4,0)</f>
        <v>5</v>
      </c>
      <c r="G214" s="227">
        <f>VLOOKUP(B214,Table1[[TÊN VẬT TƯ]:[THỜI HẠN]],3,0)</f>
        <v>13636363.636363635</v>
      </c>
      <c r="H214" s="228">
        <f t="shared" si="24"/>
        <v>5454.545454545454</v>
      </c>
      <c r="I214" s="163">
        <f t="shared" si="25"/>
        <v>1047.2727272727273</v>
      </c>
      <c r="J214" s="238"/>
    </row>
    <row r="215" spans="1:10" ht="38.25" x14ac:dyDescent="0.25">
      <c r="A215" s="17" t="s">
        <v>151</v>
      </c>
      <c r="B215" s="251" t="s">
        <v>60</v>
      </c>
      <c r="C215" s="47" t="s">
        <v>267</v>
      </c>
      <c r="D215" s="47"/>
      <c r="E215" s="47"/>
      <c r="F215" s="17"/>
      <c r="G215" s="47"/>
      <c r="H215" s="47"/>
      <c r="I215" s="226">
        <f>$I$152</f>
        <v>123.53565818181816</v>
      </c>
      <c r="J215" s="42" t="s">
        <v>299</v>
      </c>
    </row>
    <row r="216" spans="1:10" ht="38.25" x14ac:dyDescent="0.25">
      <c r="A216" s="17" t="s">
        <v>152</v>
      </c>
      <c r="B216" s="251" t="s">
        <v>61</v>
      </c>
      <c r="C216" s="47" t="s">
        <v>267</v>
      </c>
      <c r="D216" s="47"/>
      <c r="E216" s="47"/>
      <c r="F216" s="17"/>
      <c r="G216" s="47"/>
      <c r="H216" s="47"/>
      <c r="I216" s="226">
        <f>$I$152</f>
        <v>123.53565818181816</v>
      </c>
      <c r="J216" s="42" t="s">
        <v>299</v>
      </c>
    </row>
    <row r="217" spans="1:10" ht="15.75" x14ac:dyDescent="0.25">
      <c r="A217" s="17" t="s">
        <v>153</v>
      </c>
      <c r="B217" s="251" t="s">
        <v>62</v>
      </c>
      <c r="C217" s="47"/>
      <c r="D217" s="47"/>
      <c r="E217" s="47"/>
      <c r="F217" s="17"/>
      <c r="G217" s="47"/>
      <c r="H217" s="47"/>
      <c r="I217" s="226">
        <v>0</v>
      </c>
      <c r="J217" s="215" t="s">
        <v>54</v>
      </c>
    </row>
    <row r="218" spans="1:10" ht="15.75" x14ac:dyDescent="0.25">
      <c r="A218" s="4" t="s">
        <v>160</v>
      </c>
      <c r="B218" s="148" t="s">
        <v>63</v>
      </c>
      <c r="C218" s="127"/>
      <c r="D218" s="127"/>
      <c r="E218" s="127"/>
      <c r="F218" s="5"/>
      <c r="G218" s="127"/>
      <c r="H218" s="127"/>
      <c r="I218" s="163"/>
      <c r="J218" s="42" t="s">
        <v>526</v>
      </c>
    </row>
    <row r="219" spans="1:10" ht="15.75" x14ac:dyDescent="0.25">
      <c r="A219" s="4"/>
      <c r="B219" s="379" t="s">
        <v>614</v>
      </c>
      <c r="C219" s="127"/>
      <c r="D219" s="127"/>
      <c r="E219" s="127"/>
      <c r="F219" s="5"/>
      <c r="G219" s="127"/>
      <c r="H219" s="127"/>
      <c r="I219" s="163"/>
      <c r="J219" s="42"/>
    </row>
    <row r="220" spans="1:10" ht="15.75" x14ac:dyDescent="0.25">
      <c r="A220" s="232" t="s">
        <v>504</v>
      </c>
      <c r="B220" s="323" t="s">
        <v>505</v>
      </c>
      <c r="C220" s="223"/>
      <c r="D220" s="223"/>
      <c r="E220" s="223"/>
      <c r="F220" s="236"/>
      <c r="G220" s="223"/>
      <c r="H220" s="223"/>
      <c r="I220" s="322">
        <f>I221+I222+I224+I226+I227+I228</f>
        <v>944.03409090909088</v>
      </c>
      <c r="J220" s="233"/>
    </row>
    <row r="221" spans="1:10" ht="31.5" x14ac:dyDescent="0.25">
      <c r="A221" s="17" t="s">
        <v>154</v>
      </c>
      <c r="B221" s="251" t="s">
        <v>64</v>
      </c>
      <c r="C221" s="47"/>
      <c r="D221" s="47"/>
      <c r="E221" s="47"/>
      <c r="F221" s="17"/>
      <c r="G221" s="47"/>
      <c r="H221" s="47"/>
      <c r="I221" s="226">
        <v>0</v>
      </c>
      <c r="J221" s="215" t="s">
        <v>611</v>
      </c>
    </row>
    <row r="222" spans="1:10" ht="15.75" x14ac:dyDescent="0.25">
      <c r="A222" s="17" t="s">
        <v>155</v>
      </c>
      <c r="B222" s="251" t="s">
        <v>65</v>
      </c>
      <c r="C222" s="47" t="s">
        <v>304</v>
      </c>
      <c r="D222" s="47"/>
      <c r="E222" s="47"/>
      <c r="F222" s="17"/>
      <c r="G222" s="47"/>
      <c r="H222" s="47"/>
      <c r="I222" s="226">
        <f>I223</f>
        <v>46.875</v>
      </c>
      <c r="J222" s="215"/>
    </row>
    <row r="223" spans="1:10" ht="15.75" x14ac:dyDescent="0.25">
      <c r="A223" s="5" t="s">
        <v>89</v>
      </c>
      <c r="B223" s="48" t="s">
        <v>192</v>
      </c>
      <c r="C223" s="127" t="s">
        <v>107</v>
      </c>
      <c r="D223" s="127">
        <v>2.2000000000000002</v>
      </c>
      <c r="E223" s="127">
        <v>1.2500000000000001E-2</v>
      </c>
      <c r="F223" s="5">
        <f>VLOOKUP(B223,Table1[[TÊN VẬT TƯ]:[THỜI HẠN]],4,0)</f>
        <v>8</v>
      </c>
      <c r="G223" s="227">
        <f>VLOOKUP(B223,Table1[[TÊN VẬT TƯ]:[THỜI HẠN]],3,0)</f>
        <v>15000000</v>
      </c>
      <c r="H223" s="228">
        <f>G223/F223/500</f>
        <v>3750</v>
      </c>
      <c r="I223" s="163">
        <f>H223*E223</f>
        <v>46.875</v>
      </c>
      <c r="J223" s="215"/>
    </row>
    <row r="224" spans="1:10" ht="15.75" x14ac:dyDescent="0.25">
      <c r="A224" s="17" t="s">
        <v>156</v>
      </c>
      <c r="B224" s="251" t="s">
        <v>66</v>
      </c>
      <c r="C224" s="47" t="s">
        <v>304</v>
      </c>
      <c r="D224" s="47"/>
      <c r="E224" s="47"/>
      <c r="F224" s="17"/>
      <c r="G224" s="47"/>
      <c r="H224" s="47"/>
      <c r="I224" s="226">
        <f>I225</f>
        <v>93.75</v>
      </c>
      <c r="J224" s="215"/>
    </row>
    <row r="225" spans="1:10" ht="15.75" x14ac:dyDescent="0.25">
      <c r="A225" s="5" t="s">
        <v>89</v>
      </c>
      <c r="B225" s="48" t="s">
        <v>192</v>
      </c>
      <c r="C225" s="127" t="s">
        <v>107</v>
      </c>
      <c r="D225" s="127">
        <v>2.2000000000000002</v>
      </c>
      <c r="E225" s="127">
        <v>2.5000000000000001E-2</v>
      </c>
      <c r="F225" s="5">
        <f>VLOOKUP(B225,Table1[[TÊN VẬT TƯ]:[THỜI HẠN]],4,0)</f>
        <v>8</v>
      </c>
      <c r="G225" s="227">
        <f>VLOOKUP(B225,Table1[[TÊN VẬT TƯ]:[THỜI HẠN]],3,0)</f>
        <v>15000000</v>
      </c>
      <c r="H225" s="228">
        <f>G225/F225/500</f>
        <v>3750</v>
      </c>
      <c r="I225" s="163">
        <f>H225*E225</f>
        <v>93.75</v>
      </c>
      <c r="J225" s="215"/>
    </row>
    <row r="226" spans="1:10" ht="15.75" x14ac:dyDescent="0.25">
      <c r="A226" s="17" t="s">
        <v>157</v>
      </c>
      <c r="B226" s="251" t="s">
        <v>67</v>
      </c>
      <c r="C226" s="47"/>
      <c r="D226" s="47"/>
      <c r="E226" s="47"/>
      <c r="F226" s="17"/>
      <c r="G226" s="47"/>
      <c r="H226" s="47"/>
      <c r="I226" s="226">
        <v>0</v>
      </c>
      <c r="J226" s="215" t="s">
        <v>611</v>
      </c>
    </row>
    <row r="227" spans="1:10" ht="15.75" x14ac:dyDescent="0.25">
      <c r="A227" s="17" t="s">
        <v>158</v>
      </c>
      <c r="B227" s="251" t="s">
        <v>68</v>
      </c>
      <c r="C227" s="47"/>
      <c r="D227" s="47"/>
      <c r="E227" s="47"/>
      <c r="F227" s="17"/>
      <c r="G227" s="47"/>
      <c r="H227" s="47"/>
      <c r="I227" s="226">
        <v>0</v>
      </c>
      <c r="J227" s="215" t="s">
        <v>611</v>
      </c>
    </row>
    <row r="228" spans="1:10" ht="25.5" x14ac:dyDescent="0.25">
      <c r="A228" s="17" t="s">
        <v>159</v>
      </c>
      <c r="B228" s="251" t="s">
        <v>69</v>
      </c>
      <c r="C228" s="47" t="s">
        <v>283</v>
      </c>
      <c r="D228" s="47"/>
      <c r="E228" s="47"/>
      <c r="F228" s="17"/>
      <c r="G228" s="47"/>
      <c r="H228" s="47"/>
      <c r="I228" s="226">
        <f>$I$190</f>
        <v>803.40909090909088</v>
      </c>
      <c r="J228" s="378" t="s">
        <v>328</v>
      </c>
    </row>
    <row r="229" spans="1:10" ht="15.75" x14ac:dyDescent="0.25">
      <c r="A229" s="232" t="s">
        <v>506</v>
      </c>
      <c r="B229" s="323" t="s">
        <v>507</v>
      </c>
      <c r="C229" s="223"/>
      <c r="D229" s="223"/>
      <c r="E229" s="223"/>
      <c r="F229" s="236"/>
      <c r="G229" s="223"/>
      <c r="H229" s="375"/>
      <c r="I229" s="322">
        <f>SUM(I230:I235)</f>
        <v>915.90909090909088</v>
      </c>
      <c r="J229" s="233" t="s">
        <v>521</v>
      </c>
    </row>
    <row r="230" spans="1:10" ht="31.5" x14ac:dyDescent="0.25">
      <c r="A230" s="17" t="s">
        <v>154</v>
      </c>
      <c r="B230" s="251" t="s">
        <v>64</v>
      </c>
      <c r="C230" s="47"/>
      <c r="D230" s="47"/>
      <c r="E230" s="47"/>
      <c r="F230" s="17"/>
      <c r="G230" s="47"/>
      <c r="H230" s="47"/>
      <c r="I230" s="226">
        <f>VLOOKUP(THIETBI[[#This Row],[TT]],$A$221:$I$228,9,0)*0.8</f>
        <v>0</v>
      </c>
      <c r="J230" s="215" t="s">
        <v>611</v>
      </c>
    </row>
    <row r="231" spans="1:10" ht="15.75" x14ac:dyDescent="0.25">
      <c r="A231" s="17" t="s">
        <v>155</v>
      </c>
      <c r="B231" s="251" t="s">
        <v>65</v>
      </c>
      <c r="C231" s="47" t="s">
        <v>508</v>
      </c>
      <c r="D231" s="47"/>
      <c r="E231" s="47"/>
      <c r="F231" s="17"/>
      <c r="G231" s="47"/>
      <c r="H231" s="47"/>
      <c r="I231" s="226">
        <f>VLOOKUP(THIETBI[[#This Row],[TT]],$A$221:$I$228,9,0)*0.8</f>
        <v>37.5</v>
      </c>
      <c r="J231" s="215"/>
    </row>
    <row r="232" spans="1:10" ht="15.75" x14ac:dyDescent="0.25">
      <c r="A232" s="17" t="s">
        <v>156</v>
      </c>
      <c r="B232" s="251" t="s">
        <v>66</v>
      </c>
      <c r="C232" s="47" t="s">
        <v>508</v>
      </c>
      <c r="D232" s="47"/>
      <c r="E232" s="47"/>
      <c r="F232" s="17"/>
      <c r="G232" s="47"/>
      <c r="H232" s="47"/>
      <c r="I232" s="226">
        <f>VLOOKUP(THIETBI[[#This Row],[TT]],$A$221:$I$228,9,0)*0.8</f>
        <v>75</v>
      </c>
      <c r="J232" s="215"/>
    </row>
    <row r="233" spans="1:10" ht="15.75" x14ac:dyDescent="0.25">
      <c r="A233" s="17" t="s">
        <v>157</v>
      </c>
      <c r="B233" s="251" t="s">
        <v>67</v>
      </c>
      <c r="C233" s="47"/>
      <c r="D233" s="47"/>
      <c r="E233" s="47"/>
      <c r="F233" s="17"/>
      <c r="G233" s="47"/>
      <c r="H233" s="47"/>
      <c r="I233" s="226">
        <f>VLOOKUP(THIETBI[[#This Row],[TT]],$A$221:$I$228,9,0)*0.8</f>
        <v>0</v>
      </c>
      <c r="J233" s="215" t="s">
        <v>611</v>
      </c>
    </row>
    <row r="234" spans="1:10" ht="15.75" x14ac:dyDescent="0.25">
      <c r="A234" s="17" t="s">
        <v>158</v>
      </c>
      <c r="B234" s="251" t="s">
        <v>68</v>
      </c>
      <c r="C234" s="47"/>
      <c r="D234" s="47"/>
      <c r="E234" s="47"/>
      <c r="F234" s="17"/>
      <c r="G234" s="47"/>
      <c r="H234" s="47"/>
      <c r="I234" s="226">
        <f>VLOOKUP(THIETBI[[#This Row],[TT]],$A$221:$I$228,9,0)*0.8</f>
        <v>0</v>
      </c>
      <c r="J234" s="215" t="s">
        <v>611</v>
      </c>
    </row>
    <row r="235" spans="1:10" ht="25.5" x14ac:dyDescent="0.25">
      <c r="A235" s="17" t="s">
        <v>159</v>
      </c>
      <c r="B235" s="251" t="s">
        <v>69</v>
      </c>
      <c r="C235" s="47" t="s">
        <v>283</v>
      </c>
      <c r="D235" s="47"/>
      <c r="E235" s="47"/>
      <c r="F235" s="17"/>
      <c r="G235" s="47"/>
      <c r="H235" s="47"/>
      <c r="I235" s="226">
        <f>$I$190</f>
        <v>803.40909090909088</v>
      </c>
      <c r="J235" s="42" t="s">
        <v>328</v>
      </c>
    </row>
    <row r="236" spans="1:10" ht="15.75" x14ac:dyDescent="0.25">
      <c r="A236" s="232" t="s">
        <v>509</v>
      </c>
      <c r="B236" s="323" t="s">
        <v>510</v>
      </c>
      <c r="C236" s="223"/>
      <c r="D236" s="223"/>
      <c r="E236" s="223"/>
      <c r="F236" s="236"/>
      <c r="G236" s="223"/>
      <c r="H236" s="375"/>
      <c r="I236" s="322">
        <f>SUM(I237:I242)</f>
        <v>1014.3465909090909</v>
      </c>
      <c r="J236" s="233" t="s">
        <v>522</v>
      </c>
    </row>
    <row r="237" spans="1:10" ht="31.5" x14ac:dyDescent="0.25">
      <c r="A237" s="17" t="s">
        <v>154</v>
      </c>
      <c r="B237" s="251" t="s">
        <v>64</v>
      </c>
      <c r="C237" s="47"/>
      <c r="D237" s="47"/>
      <c r="E237" s="47"/>
      <c r="F237" s="17"/>
      <c r="G237" s="47"/>
      <c r="H237" s="47"/>
      <c r="I237" s="226">
        <f>VLOOKUP(THIETBI[[#This Row],[TT]],$A$221:$I$228,9,0)*1.5</f>
        <v>0</v>
      </c>
      <c r="J237" s="215" t="s">
        <v>611</v>
      </c>
    </row>
    <row r="238" spans="1:10" ht="15.75" x14ac:dyDescent="0.25">
      <c r="A238" s="17" t="s">
        <v>155</v>
      </c>
      <c r="B238" s="251" t="s">
        <v>65</v>
      </c>
      <c r="C238" s="47" t="s">
        <v>511</v>
      </c>
      <c r="D238" s="47"/>
      <c r="E238" s="47"/>
      <c r="F238" s="17"/>
      <c r="G238" s="47"/>
      <c r="H238" s="47"/>
      <c r="I238" s="226">
        <f>VLOOKUP(THIETBI[[#This Row],[TT]],$A$221:$I$228,9,0)*1.5</f>
        <v>70.3125</v>
      </c>
      <c r="J238" s="215"/>
    </row>
    <row r="239" spans="1:10" ht="15.75" x14ac:dyDescent="0.25">
      <c r="A239" s="17" t="s">
        <v>156</v>
      </c>
      <c r="B239" s="251" t="s">
        <v>66</v>
      </c>
      <c r="C239" s="47" t="s">
        <v>511</v>
      </c>
      <c r="D239" s="47"/>
      <c r="E239" s="47"/>
      <c r="F239" s="17"/>
      <c r="G239" s="47"/>
      <c r="H239" s="47"/>
      <c r="I239" s="226">
        <f>VLOOKUP(THIETBI[[#This Row],[TT]],$A$221:$I$228,9,0)*1.5</f>
        <v>140.625</v>
      </c>
      <c r="J239" s="215"/>
    </row>
    <row r="240" spans="1:10" ht="15.75" x14ac:dyDescent="0.25">
      <c r="A240" s="17" t="s">
        <v>157</v>
      </c>
      <c r="B240" s="251" t="s">
        <v>67</v>
      </c>
      <c r="C240" s="47"/>
      <c r="D240" s="47"/>
      <c r="E240" s="47"/>
      <c r="F240" s="17"/>
      <c r="G240" s="47"/>
      <c r="H240" s="47"/>
      <c r="I240" s="226">
        <f>VLOOKUP(THIETBI[[#This Row],[TT]],$A$221:$I$228,9,0)*1.5</f>
        <v>0</v>
      </c>
      <c r="J240" s="215" t="s">
        <v>611</v>
      </c>
    </row>
    <row r="241" spans="1:10" ht="15.75" x14ac:dyDescent="0.25">
      <c r="A241" s="17" t="s">
        <v>158</v>
      </c>
      <c r="B241" s="251" t="s">
        <v>68</v>
      </c>
      <c r="C241" s="47"/>
      <c r="D241" s="47"/>
      <c r="E241" s="47"/>
      <c r="F241" s="17"/>
      <c r="G241" s="47"/>
      <c r="H241" s="47"/>
      <c r="I241" s="226">
        <f>VLOOKUP(THIETBI[[#This Row],[TT]],$A$221:$I$228,9,0)*1.5</f>
        <v>0</v>
      </c>
      <c r="J241" s="215" t="s">
        <v>611</v>
      </c>
    </row>
    <row r="242" spans="1:10" ht="25.5" x14ac:dyDescent="0.25">
      <c r="A242" s="17" t="s">
        <v>159</v>
      </c>
      <c r="B242" s="251" t="s">
        <v>69</v>
      </c>
      <c r="C242" s="47" t="s">
        <v>283</v>
      </c>
      <c r="D242" s="47"/>
      <c r="E242" s="47"/>
      <c r="F242" s="17"/>
      <c r="G242" s="47"/>
      <c r="H242" s="47"/>
      <c r="I242" s="226">
        <f>$I$190</f>
        <v>803.40909090909088</v>
      </c>
      <c r="J242" s="42" t="s">
        <v>328</v>
      </c>
    </row>
    <row r="243" spans="1:10" ht="15.75" x14ac:dyDescent="0.25">
      <c r="A243" s="232" t="s">
        <v>512</v>
      </c>
      <c r="B243" s="323" t="s">
        <v>513</v>
      </c>
      <c r="C243" s="223"/>
      <c r="D243" s="223"/>
      <c r="E243" s="223"/>
      <c r="F243" s="236"/>
      <c r="G243" s="223"/>
      <c r="H243" s="375"/>
      <c r="I243" s="322">
        <f>SUM(I244:I249)</f>
        <v>1154.971590909091</v>
      </c>
      <c r="J243" s="233" t="s">
        <v>523</v>
      </c>
    </row>
    <row r="244" spans="1:10" ht="31.5" x14ac:dyDescent="0.25">
      <c r="A244" s="17" t="s">
        <v>154</v>
      </c>
      <c r="B244" s="251" t="s">
        <v>64</v>
      </c>
      <c r="C244" s="47"/>
      <c r="D244" s="47"/>
      <c r="E244" s="47"/>
      <c r="F244" s="17"/>
      <c r="G244" s="47"/>
      <c r="H244" s="47"/>
      <c r="I244" s="226">
        <f>VLOOKUP(THIETBI[[#This Row],[TT]],$A$221:$I$228,9,0)*2.5</f>
        <v>0</v>
      </c>
      <c r="J244" s="215" t="s">
        <v>611</v>
      </c>
    </row>
    <row r="245" spans="1:10" ht="15.75" x14ac:dyDescent="0.25">
      <c r="A245" s="17" t="s">
        <v>155</v>
      </c>
      <c r="B245" s="251" t="s">
        <v>65</v>
      </c>
      <c r="C245" s="47" t="s">
        <v>514</v>
      </c>
      <c r="D245" s="47"/>
      <c r="E245" s="47"/>
      <c r="F245" s="17"/>
      <c r="G245" s="47"/>
      <c r="H245" s="47"/>
      <c r="I245" s="226">
        <f>VLOOKUP(THIETBI[[#This Row],[TT]],$A$221:$I$228,9,0)*2.5</f>
        <v>117.1875</v>
      </c>
      <c r="J245" s="215"/>
    </row>
    <row r="246" spans="1:10" ht="15.75" x14ac:dyDescent="0.25">
      <c r="A246" s="17" t="s">
        <v>156</v>
      </c>
      <c r="B246" s="251" t="s">
        <v>66</v>
      </c>
      <c r="C246" s="47" t="s">
        <v>514</v>
      </c>
      <c r="D246" s="47"/>
      <c r="E246" s="47"/>
      <c r="F246" s="17"/>
      <c r="G246" s="47"/>
      <c r="H246" s="47"/>
      <c r="I246" s="226">
        <f>VLOOKUP(THIETBI[[#This Row],[TT]],$A$221:$I$228,9,0)*2.5</f>
        <v>234.375</v>
      </c>
      <c r="J246" s="215"/>
    </row>
    <row r="247" spans="1:10" ht="15.75" x14ac:dyDescent="0.25">
      <c r="A247" s="17" t="s">
        <v>157</v>
      </c>
      <c r="B247" s="251" t="s">
        <v>67</v>
      </c>
      <c r="C247" s="47"/>
      <c r="D247" s="47"/>
      <c r="E247" s="47"/>
      <c r="F247" s="17"/>
      <c r="G247" s="47"/>
      <c r="H247" s="47"/>
      <c r="I247" s="226">
        <f>VLOOKUP(THIETBI[[#This Row],[TT]],$A$221:$I$228,9,0)*2.5</f>
        <v>0</v>
      </c>
      <c r="J247" s="215" t="s">
        <v>611</v>
      </c>
    </row>
    <row r="248" spans="1:10" ht="15.75" x14ac:dyDescent="0.25">
      <c r="A248" s="17" t="s">
        <v>158</v>
      </c>
      <c r="B248" s="251" t="s">
        <v>68</v>
      </c>
      <c r="C248" s="47"/>
      <c r="D248" s="47"/>
      <c r="E248" s="47"/>
      <c r="F248" s="17"/>
      <c r="G248" s="47"/>
      <c r="H248" s="47"/>
      <c r="I248" s="226">
        <f>VLOOKUP(THIETBI[[#This Row],[TT]],$A$221:$I$228,9,0)*2.5</f>
        <v>0</v>
      </c>
      <c r="J248" s="215" t="s">
        <v>611</v>
      </c>
    </row>
    <row r="249" spans="1:10" ht="25.5" x14ac:dyDescent="0.25">
      <c r="A249" s="17" t="s">
        <v>159</v>
      </c>
      <c r="B249" s="251" t="s">
        <v>69</v>
      </c>
      <c r="C249" s="47" t="s">
        <v>283</v>
      </c>
      <c r="D249" s="47"/>
      <c r="E249" s="47"/>
      <c r="F249" s="17"/>
      <c r="G249" s="47"/>
      <c r="H249" s="47"/>
      <c r="I249" s="226">
        <f>$I$190</f>
        <v>803.40909090909088</v>
      </c>
      <c r="J249" s="42" t="s">
        <v>328</v>
      </c>
    </row>
    <row r="250" spans="1:10" ht="15.75" x14ac:dyDescent="0.25">
      <c r="A250" s="232" t="s">
        <v>515</v>
      </c>
      <c r="B250" s="323" t="s">
        <v>516</v>
      </c>
      <c r="C250" s="223"/>
      <c r="D250" s="223"/>
      <c r="E250" s="223"/>
      <c r="F250" s="236"/>
      <c r="G250" s="223"/>
      <c r="H250" s="375"/>
      <c r="I250" s="322">
        <f>SUM(I251:I256)</f>
        <v>1506.534090909091</v>
      </c>
      <c r="J250" s="233" t="s">
        <v>524</v>
      </c>
    </row>
    <row r="251" spans="1:10" ht="31.5" x14ac:dyDescent="0.25">
      <c r="A251" s="17" t="s">
        <v>154</v>
      </c>
      <c r="B251" s="251" t="s">
        <v>64</v>
      </c>
      <c r="C251" s="47"/>
      <c r="D251" s="47"/>
      <c r="E251" s="47"/>
      <c r="F251" s="17"/>
      <c r="G251" s="47"/>
      <c r="H251" s="47"/>
      <c r="I251" s="226">
        <f>VLOOKUP(THIETBI[[#This Row],[TT]],$A$221:$I$228,9,0)*5</f>
        <v>0</v>
      </c>
      <c r="J251" s="215" t="s">
        <v>611</v>
      </c>
    </row>
    <row r="252" spans="1:10" ht="15.75" x14ac:dyDescent="0.25">
      <c r="A252" s="17" t="s">
        <v>155</v>
      </c>
      <c r="B252" s="251" t="s">
        <v>65</v>
      </c>
      <c r="C252" s="47" t="s">
        <v>517</v>
      </c>
      <c r="D252" s="47"/>
      <c r="E252" s="47"/>
      <c r="F252" s="17"/>
      <c r="G252" s="47"/>
      <c r="H252" s="47"/>
      <c r="I252" s="226">
        <f>VLOOKUP(THIETBI[[#This Row],[TT]],$A$221:$I$228,9,0)*5</f>
        <v>234.375</v>
      </c>
      <c r="J252" s="215"/>
    </row>
    <row r="253" spans="1:10" ht="15.75" x14ac:dyDescent="0.25">
      <c r="A253" s="17" t="s">
        <v>156</v>
      </c>
      <c r="B253" s="251" t="s">
        <v>66</v>
      </c>
      <c r="C253" s="47" t="s">
        <v>517</v>
      </c>
      <c r="D253" s="47"/>
      <c r="E253" s="47"/>
      <c r="F253" s="17"/>
      <c r="G253" s="47"/>
      <c r="H253" s="47"/>
      <c r="I253" s="226">
        <f>VLOOKUP(THIETBI[[#This Row],[TT]],$A$221:$I$228,9,0)*5</f>
        <v>468.75</v>
      </c>
      <c r="J253" s="215"/>
    </row>
    <row r="254" spans="1:10" ht="15.75" x14ac:dyDescent="0.25">
      <c r="A254" s="17" t="s">
        <v>157</v>
      </c>
      <c r="B254" s="251" t="s">
        <v>67</v>
      </c>
      <c r="C254" s="47"/>
      <c r="D254" s="47"/>
      <c r="E254" s="47"/>
      <c r="F254" s="17"/>
      <c r="G254" s="47"/>
      <c r="H254" s="47"/>
      <c r="I254" s="226">
        <f>VLOOKUP(THIETBI[[#This Row],[TT]],$A$221:$I$228,9,0)*5</f>
        <v>0</v>
      </c>
      <c r="J254" s="215" t="s">
        <v>611</v>
      </c>
    </row>
    <row r="255" spans="1:10" ht="15.75" x14ac:dyDescent="0.25">
      <c r="A255" s="17" t="s">
        <v>158</v>
      </c>
      <c r="B255" s="251" t="s">
        <v>68</v>
      </c>
      <c r="C255" s="47"/>
      <c r="D255" s="47"/>
      <c r="E255" s="47"/>
      <c r="F255" s="17"/>
      <c r="G255" s="47"/>
      <c r="H255" s="47"/>
      <c r="I255" s="226">
        <f>VLOOKUP(THIETBI[[#This Row],[TT]],$A$221:$I$228,9,0)*5</f>
        <v>0</v>
      </c>
      <c r="J255" s="215" t="s">
        <v>611</v>
      </c>
    </row>
    <row r="256" spans="1:10" ht="25.5" x14ac:dyDescent="0.25">
      <c r="A256" s="17" t="s">
        <v>159</v>
      </c>
      <c r="B256" s="251" t="s">
        <v>69</v>
      </c>
      <c r="C256" s="47" t="s">
        <v>283</v>
      </c>
      <c r="D256" s="47"/>
      <c r="E256" s="47"/>
      <c r="F256" s="17"/>
      <c r="G256" s="47"/>
      <c r="H256" s="47"/>
      <c r="I256" s="226">
        <f>$I$190</f>
        <v>803.40909090909088</v>
      </c>
      <c r="J256" s="42" t="s">
        <v>328</v>
      </c>
    </row>
    <row r="257" spans="1:10" ht="15.75" x14ac:dyDescent="0.25">
      <c r="A257" s="232" t="s">
        <v>518</v>
      </c>
      <c r="B257" s="323" t="s">
        <v>519</v>
      </c>
      <c r="C257" s="223"/>
      <c r="D257" s="223"/>
      <c r="E257" s="223"/>
      <c r="F257" s="236"/>
      <c r="G257" s="223"/>
      <c r="H257" s="223"/>
      <c r="I257" s="322">
        <f>SUM(I258:I263)</f>
        <v>2209.659090909091</v>
      </c>
      <c r="J257" s="233" t="s">
        <v>525</v>
      </c>
    </row>
    <row r="258" spans="1:10" ht="31.5" x14ac:dyDescent="0.25">
      <c r="A258" s="17" t="s">
        <v>154</v>
      </c>
      <c r="B258" s="251" t="s">
        <v>64</v>
      </c>
      <c r="C258" s="47"/>
      <c r="D258" s="47"/>
      <c r="E258" s="47"/>
      <c r="F258" s="17"/>
      <c r="G258" s="47"/>
      <c r="H258" s="47"/>
      <c r="I258" s="226">
        <f>VLOOKUP(THIETBI[[#This Row],[TT]],$A$221:$I$228,9,0)*10</f>
        <v>0</v>
      </c>
      <c r="J258" s="215" t="s">
        <v>611</v>
      </c>
    </row>
    <row r="259" spans="1:10" ht="15.75" x14ac:dyDescent="0.25">
      <c r="A259" s="17" t="s">
        <v>155</v>
      </c>
      <c r="B259" s="251" t="s">
        <v>65</v>
      </c>
      <c r="C259" s="47" t="s">
        <v>520</v>
      </c>
      <c r="D259" s="47"/>
      <c r="E259" s="47"/>
      <c r="F259" s="17"/>
      <c r="G259" s="47"/>
      <c r="H259" s="47"/>
      <c r="I259" s="226">
        <f>VLOOKUP(THIETBI[[#This Row],[TT]],$A$221:$I$228,9,0)*10</f>
        <v>468.75</v>
      </c>
      <c r="J259" s="215"/>
    </row>
    <row r="260" spans="1:10" ht="15.75" x14ac:dyDescent="0.25">
      <c r="A260" s="17" t="s">
        <v>156</v>
      </c>
      <c r="B260" s="251" t="s">
        <v>66</v>
      </c>
      <c r="C260" s="47" t="s">
        <v>520</v>
      </c>
      <c r="D260" s="47"/>
      <c r="E260" s="47"/>
      <c r="F260" s="17"/>
      <c r="G260" s="47"/>
      <c r="H260" s="47"/>
      <c r="I260" s="226">
        <f>VLOOKUP(THIETBI[[#This Row],[TT]],$A$221:$I$228,9,0)*10</f>
        <v>937.5</v>
      </c>
      <c r="J260" s="215"/>
    </row>
    <row r="261" spans="1:10" ht="15.75" x14ac:dyDescent="0.25">
      <c r="A261" s="17" t="s">
        <v>157</v>
      </c>
      <c r="B261" s="251" t="s">
        <v>67</v>
      </c>
      <c r="C261" s="47"/>
      <c r="D261" s="47"/>
      <c r="E261" s="47"/>
      <c r="F261" s="17"/>
      <c r="G261" s="47"/>
      <c r="H261" s="47"/>
      <c r="I261" s="226">
        <f>VLOOKUP(THIETBI[[#This Row],[TT]],$A$221:$I$228,9,0)*10</f>
        <v>0</v>
      </c>
      <c r="J261" s="215" t="s">
        <v>611</v>
      </c>
    </row>
    <row r="262" spans="1:10" ht="15.75" x14ac:dyDescent="0.25">
      <c r="A262" s="17" t="s">
        <v>158</v>
      </c>
      <c r="B262" s="251" t="s">
        <v>68</v>
      </c>
      <c r="C262" s="47"/>
      <c r="D262" s="47"/>
      <c r="E262" s="47"/>
      <c r="F262" s="17"/>
      <c r="G262" s="47"/>
      <c r="H262" s="47"/>
      <c r="I262" s="226">
        <f>VLOOKUP(THIETBI[[#This Row],[TT]],$A$221:$I$228,9,0)*10</f>
        <v>0</v>
      </c>
      <c r="J262" s="215" t="s">
        <v>611</v>
      </c>
    </row>
    <row r="263" spans="1:10" ht="25.5" x14ac:dyDescent="0.25">
      <c r="A263" s="17" t="s">
        <v>159</v>
      </c>
      <c r="B263" s="251" t="s">
        <v>69</v>
      </c>
      <c r="C263" s="47" t="s">
        <v>283</v>
      </c>
      <c r="D263" s="47"/>
      <c r="E263" s="47"/>
      <c r="F263" s="17"/>
      <c r="G263" s="47"/>
      <c r="H263" s="47"/>
      <c r="I263" s="226">
        <f>$I$190</f>
        <v>803.40909090909088</v>
      </c>
      <c r="J263" s="42" t="s">
        <v>328</v>
      </c>
    </row>
    <row r="264" spans="1:10" ht="15.75" x14ac:dyDescent="0.25">
      <c r="A264" s="4"/>
      <c r="B264" s="387" t="s">
        <v>615</v>
      </c>
      <c r="C264" s="127"/>
      <c r="D264" s="127"/>
      <c r="E264" s="127"/>
      <c r="F264" s="5"/>
      <c r="G264" s="127"/>
      <c r="H264" s="127"/>
      <c r="I264" s="163"/>
      <c r="J264" s="380" t="s">
        <v>616</v>
      </c>
    </row>
    <row r="265" spans="1:10" ht="15.75" x14ac:dyDescent="0.25">
      <c r="A265" s="232" t="s">
        <v>504</v>
      </c>
      <c r="B265" s="323" t="s">
        <v>505</v>
      </c>
      <c r="C265" s="223"/>
      <c r="D265" s="223"/>
      <c r="E265" s="223"/>
      <c r="F265" s="236"/>
      <c r="G265" s="223"/>
      <c r="H265" s="223"/>
      <c r="I265" s="322">
        <f>SUM(I266:I271)</f>
        <v>1084.659090909091</v>
      </c>
      <c r="J265" s="233"/>
    </row>
    <row r="266" spans="1:10" ht="31.5" x14ac:dyDescent="0.25">
      <c r="A266" s="17" t="s">
        <v>154</v>
      </c>
      <c r="B266" s="251" t="s">
        <v>64</v>
      </c>
      <c r="C266" s="47"/>
      <c r="D266" s="47"/>
      <c r="E266" s="47"/>
      <c r="F266" s="17"/>
      <c r="G266" s="47"/>
      <c r="H266" s="47"/>
      <c r="I266" s="226">
        <f>I221*2</f>
        <v>0</v>
      </c>
      <c r="J266" s="215" t="s">
        <v>611</v>
      </c>
    </row>
    <row r="267" spans="1:10" ht="15.75" x14ac:dyDescent="0.25">
      <c r="A267" s="17" t="s">
        <v>155</v>
      </c>
      <c r="B267" s="251" t="s">
        <v>65</v>
      </c>
      <c r="C267" s="47" t="s">
        <v>304</v>
      </c>
      <c r="D267" s="47"/>
      <c r="E267" s="47"/>
      <c r="F267" s="17"/>
      <c r="G267" s="47"/>
      <c r="H267" s="47"/>
      <c r="I267" s="226">
        <f>I222*2</f>
        <v>93.75</v>
      </c>
      <c r="J267" s="215"/>
    </row>
    <row r="268" spans="1:10" ht="15.75" x14ac:dyDescent="0.25">
      <c r="A268" s="17" t="s">
        <v>156</v>
      </c>
      <c r="B268" s="251" t="s">
        <v>66</v>
      </c>
      <c r="C268" s="47" t="s">
        <v>304</v>
      </c>
      <c r="D268" s="47"/>
      <c r="E268" s="47"/>
      <c r="F268" s="17"/>
      <c r="G268" s="47"/>
      <c r="H268" s="47"/>
      <c r="I268" s="226">
        <f>I224*2</f>
        <v>187.5</v>
      </c>
      <c r="J268" s="215"/>
    </row>
    <row r="269" spans="1:10" ht="15.75" x14ac:dyDescent="0.25">
      <c r="A269" s="17" t="s">
        <v>157</v>
      </c>
      <c r="B269" s="251" t="s">
        <v>67</v>
      </c>
      <c r="C269" s="47"/>
      <c r="D269" s="47"/>
      <c r="E269" s="47"/>
      <c r="F269" s="17"/>
      <c r="G269" s="47"/>
      <c r="H269" s="47"/>
      <c r="I269" s="226">
        <f>I226*2</f>
        <v>0</v>
      </c>
      <c r="J269" s="215" t="s">
        <v>611</v>
      </c>
    </row>
    <row r="270" spans="1:10" ht="15.75" x14ac:dyDescent="0.25">
      <c r="A270" s="17" t="s">
        <v>158</v>
      </c>
      <c r="B270" s="251" t="s">
        <v>68</v>
      </c>
      <c r="C270" s="47"/>
      <c r="D270" s="47"/>
      <c r="E270" s="47"/>
      <c r="F270" s="17"/>
      <c r="G270" s="47"/>
      <c r="H270" s="47"/>
      <c r="I270" s="226">
        <f>I227*2</f>
        <v>0</v>
      </c>
      <c r="J270" s="215" t="s">
        <v>611</v>
      </c>
    </row>
    <row r="271" spans="1:10" ht="25.5" x14ac:dyDescent="0.25">
      <c r="A271" s="17" t="s">
        <v>159</v>
      </c>
      <c r="B271" s="251" t="s">
        <v>69</v>
      </c>
      <c r="C271" s="47" t="s">
        <v>283</v>
      </c>
      <c r="D271" s="47"/>
      <c r="E271" s="47"/>
      <c r="F271" s="17"/>
      <c r="G271" s="47"/>
      <c r="H271" s="47"/>
      <c r="I271" s="226">
        <f>$I$190</f>
        <v>803.40909090909088</v>
      </c>
      <c r="J271" s="42" t="s">
        <v>328</v>
      </c>
    </row>
    <row r="272" spans="1:10" ht="15.75" x14ac:dyDescent="0.25">
      <c r="A272" s="232" t="s">
        <v>506</v>
      </c>
      <c r="B272" s="323" t="s">
        <v>507</v>
      </c>
      <c r="C272" s="223"/>
      <c r="D272" s="223"/>
      <c r="E272" s="223"/>
      <c r="F272" s="236"/>
      <c r="G272" s="223"/>
      <c r="H272" s="375"/>
      <c r="I272" s="322">
        <f>SUM(I273:I278)</f>
        <v>1028.409090909091</v>
      </c>
      <c r="J272" s="233" t="s">
        <v>521</v>
      </c>
    </row>
    <row r="273" spans="1:10" ht="31.5" x14ac:dyDescent="0.25">
      <c r="A273" s="17" t="s">
        <v>154</v>
      </c>
      <c r="B273" s="251" t="s">
        <v>64</v>
      </c>
      <c r="C273" s="47"/>
      <c r="D273" s="47"/>
      <c r="E273" s="47"/>
      <c r="F273" s="17"/>
      <c r="G273" s="47"/>
      <c r="H273" s="47"/>
      <c r="I273" s="226">
        <f>I230*2</f>
        <v>0</v>
      </c>
      <c r="J273" s="215" t="s">
        <v>611</v>
      </c>
    </row>
    <row r="274" spans="1:10" ht="15.75" x14ac:dyDescent="0.25">
      <c r="A274" s="17" t="s">
        <v>155</v>
      </c>
      <c r="B274" s="251" t="s">
        <v>65</v>
      </c>
      <c r="C274" s="47" t="s">
        <v>508</v>
      </c>
      <c r="D274" s="47"/>
      <c r="E274" s="47"/>
      <c r="F274" s="17"/>
      <c r="G274" s="47"/>
      <c r="H274" s="47"/>
      <c r="I274" s="226">
        <f t="shared" ref="I274:I277" si="26">I231*2</f>
        <v>75</v>
      </c>
      <c r="J274" s="215"/>
    </row>
    <row r="275" spans="1:10" ht="15.75" x14ac:dyDescent="0.25">
      <c r="A275" s="17" t="s">
        <v>156</v>
      </c>
      <c r="B275" s="251" t="s">
        <v>66</v>
      </c>
      <c r="C275" s="47" t="s">
        <v>508</v>
      </c>
      <c r="D275" s="47"/>
      <c r="E275" s="47"/>
      <c r="F275" s="17"/>
      <c r="G275" s="47"/>
      <c r="H275" s="47"/>
      <c r="I275" s="226">
        <f t="shared" si="26"/>
        <v>150</v>
      </c>
      <c r="J275" s="215"/>
    </row>
    <row r="276" spans="1:10" ht="15.75" x14ac:dyDescent="0.25">
      <c r="A276" s="17" t="s">
        <v>157</v>
      </c>
      <c r="B276" s="251" t="s">
        <v>67</v>
      </c>
      <c r="C276" s="47"/>
      <c r="D276" s="47"/>
      <c r="E276" s="47"/>
      <c r="F276" s="17"/>
      <c r="G276" s="47"/>
      <c r="H276" s="47"/>
      <c r="I276" s="226">
        <f t="shared" si="26"/>
        <v>0</v>
      </c>
      <c r="J276" s="215" t="s">
        <v>611</v>
      </c>
    </row>
    <row r="277" spans="1:10" ht="15.75" x14ac:dyDescent="0.25">
      <c r="A277" s="17" t="s">
        <v>158</v>
      </c>
      <c r="B277" s="251" t="s">
        <v>68</v>
      </c>
      <c r="C277" s="47"/>
      <c r="D277" s="47"/>
      <c r="E277" s="47"/>
      <c r="F277" s="17"/>
      <c r="G277" s="47"/>
      <c r="H277" s="47"/>
      <c r="I277" s="226">
        <f t="shared" si="26"/>
        <v>0</v>
      </c>
      <c r="J277" s="215" t="s">
        <v>611</v>
      </c>
    </row>
    <row r="278" spans="1:10" ht="25.5" x14ac:dyDescent="0.25">
      <c r="A278" s="17" t="s">
        <v>159</v>
      </c>
      <c r="B278" s="251" t="s">
        <v>69</v>
      </c>
      <c r="C278" s="47" t="s">
        <v>283</v>
      </c>
      <c r="D278" s="47"/>
      <c r="E278" s="47"/>
      <c r="F278" s="17"/>
      <c r="G278" s="47"/>
      <c r="H278" s="47"/>
      <c r="I278" s="381">
        <f>$I$190</f>
        <v>803.40909090909088</v>
      </c>
      <c r="J278" s="42" t="s">
        <v>328</v>
      </c>
    </row>
    <row r="279" spans="1:10" ht="15.75" x14ac:dyDescent="0.25">
      <c r="A279" s="232" t="s">
        <v>509</v>
      </c>
      <c r="B279" s="323" t="s">
        <v>510</v>
      </c>
      <c r="C279" s="223"/>
      <c r="D279" s="223"/>
      <c r="E279" s="223"/>
      <c r="F279" s="236"/>
      <c r="G279" s="223"/>
      <c r="H279" s="375"/>
      <c r="I279" s="322">
        <f>SUM(I280:I285)</f>
        <v>1225.284090909091</v>
      </c>
      <c r="J279" s="233" t="s">
        <v>522</v>
      </c>
    </row>
    <row r="280" spans="1:10" ht="31.5" x14ac:dyDescent="0.25">
      <c r="A280" s="17" t="s">
        <v>154</v>
      </c>
      <c r="B280" s="251" t="s">
        <v>64</v>
      </c>
      <c r="C280" s="47"/>
      <c r="D280" s="47"/>
      <c r="E280" s="47"/>
      <c r="F280" s="17"/>
      <c r="G280" s="47"/>
      <c r="H280" s="47"/>
      <c r="I280" s="226">
        <f t="shared" ref="I280:I284" si="27">I237*2</f>
        <v>0</v>
      </c>
      <c r="J280" s="215" t="s">
        <v>611</v>
      </c>
    </row>
    <row r="281" spans="1:10" ht="15.75" x14ac:dyDescent="0.25">
      <c r="A281" s="17" t="s">
        <v>155</v>
      </c>
      <c r="B281" s="251" t="s">
        <v>65</v>
      </c>
      <c r="C281" s="47" t="s">
        <v>511</v>
      </c>
      <c r="D281" s="47"/>
      <c r="E281" s="47"/>
      <c r="F281" s="17"/>
      <c r="G281" s="47"/>
      <c r="H281" s="47"/>
      <c r="I281" s="226">
        <f t="shared" si="27"/>
        <v>140.625</v>
      </c>
      <c r="J281" s="215"/>
    </row>
    <row r="282" spans="1:10" ht="15.75" x14ac:dyDescent="0.25">
      <c r="A282" s="17" t="s">
        <v>156</v>
      </c>
      <c r="B282" s="251" t="s">
        <v>66</v>
      </c>
      <c r="C282" s="47" t="s">
        <v>511</v>
      </c>
      <c r="D282" s="47"/>
      <c r="E282" s="47"/>
      <c r="F282" s="17"/>
      <c r="G282" s="47"/>
      <c r="H282" s="47"/>
      <c r="I282" s="226">
        <f t="shared" si="27"/>
        <v>281.25</v>
      </c>
      <c r="J282" s="215"/>
    </row>
    <row r="283" spans="1:10" ht="15.75" x14ac:dyDescent="0.25">
      <c r="A283" s="17" t="s">
        <v>157</v>
      </c>
      <c r="B283" s="251" t="s">
        <v>67</v>
      </c>
      <c r="C283" s="47"/>
      <c r="D283" s="47"/>
      <c r="E283" s="47"/>
      <c r="F283" s="17"/>
      <c r="G283" s="47"/>
      <c r="H283" s="47"/>
      <c r="I283" s="226">
        <f t="shared" si="27"/>
        <v>0</v>
      </c>
      <c r="J283" s="215" t="s">
        <v>611</v>
      </c>
    </row>
    <row r="284" spans="1:10" ht="15.75" x14ac:dyDescent="0.25">
      <c r="A284" s="17" t="s">
        <v>158</v>
      </c>
      <c r="B284" s="251" t="s">
        <v>68</v>
      </c>
      <c r="C284" s="47"/>
      <c r="D284" s="47"/>
      <c r="E284" s="47"/>
      <c r="F284" s="17"/>
      <c r="G284" s="47"/>
      <c r="H284" s="47"/>
      <c r="I284" s="226">
        <f t="shared" si="27"/>
        <v>0</v>
      </c>
      <c r="J284" s="215" t="s">
        <v>611</v>
      </c>
    </row>
    <row r="285" spans="1:10" ht="25.5" x14ac:dyDescent="0.25">
      <c r="A285" s="17" t="s">
        <v>159</v>
      </c>
      <c r="B285" s="251" t="s">
        <v>69</v>
      </c>
      <c r="C285" s="47" t="s">
        <v>283</v>
      </c>
      <c r="D285" s="47"/>
      <c r="E285" s="47"/>
      <c r="F285" s="17"/>
      <c r="G285" s="47"/>
      <c r="H285" s="47"/>
      <c r="I285" s="226">
        <f>$I$190</f>
        <v>803.40909090909088</v>
      </c>
      <c r="J285" s="42" t="s">
        <v>328</v>
      </c>
    </row>
    <row r="286" spans="1:10" ht="15.75" x14ac:dyDescent="0.25">
      <c r="A286" s="232" t="s">
        <v>512</v>
      </c>
      <c r="B286" s="323" t="s">
        <v>513</v>
      </c>
      <c r="C286" s="223"/>
      <c r="D286" s="223"/>
      <c r="E286" s="223"/>
      <c r="F286" s="236"/>
      <c r="G286" s="223"/>
      <c r="H286" s="375"/>
      <c r="I286" s="322">
        <f>SUM(I287:I292)</f>
        <v>1506.534090909091</v>
      </c>
      <c r="J286" s="233" t="s">
        <v>523</v>
      </c>
    </row>
    <row r="287" spans="1:10" ht="31.5" x14ac:dyDescent="0.25">
      <c r="A287" s="17" t="s">
        <v>154</v>
      </c>
      <c r="B287" s="251" t="s">
        <v>64</v>
      </c>
      <c r="C287" s="47"/>
      <c r="D287" s="47"/>
      <c r="E287" s="47"/>
      <c r="F287" s="17"/>
      <c r="G287" s="47"/>
      <c r="H287" s="47"/>
      <c r="I287" s="226">
        <f t="shared" ref="I287:I291" si="28">I244*2</f>
        <v>0</v>
      </c>
      <c r="J287" s="215" t="s">
        <v>611</v>
      </c>
    </row>
    <row r="288" spans="1:10" ht="15.75" x14ac:dyDescent="0.25">
      <c r="A288" s="17" t="s">
        <v>155</v>
      </c>
      <c r="B288" s="251" t="s">
        <v>65</v>
      </c>
      <c r="C288" s="47" t="s">
        <v>514</v>
      </c>
      <c r="D288" s="47"/>
      <c r="E288" s="47"/>
      <c r="F288" s="17"/>
      <c r="G288" s="47"/>
      <c r="H288" s="47"/>
      <c r="I288" s="226">
        <f t="shared" si="28"/>
        <v>234.375</v>
      </c>
      <c r="J288" s="215"/>
    </row>
    <row r="289" spans="1:10" ht="15.75" x14ac:dyDescent="0.25">
      <c r="A289" s="17" t="s">
        <v>156</v>
      </c>
      <c r="B289" s="251" t="s">
        <v>66</v>
      </c>
      <c r="C289" s="47" t="s">
        <v>514</v>
      </c>
      <c r="D289" s="47"/>
      <c r="E289" s="47"/>
      <c r="F289" s="17"/>
      <c r="G289" s="47"/>
      <c r="H289" s="47"/>
      <c r="I289" s="226">
        <f t="shared" si="28"/>
        <v>468.75</v>
      </c>
      <c r="J289" s="215"/>
    </row>
    <row r="290" spans="1:10" ht="15.75" x14ac:dyDescent="0.25">
      <c r="A290" s="17" t="s">
        <v>157</v>
      </c>
      <c r="B290" s="251" t="s">
        <v>67</v>
      </c>
      <c r="C290" s="47"/>
      <c r="D290" s="47"/>
      <c r="E290" s="47"/>
      <c r="F290" s="17"/>
      <c r="G290" s="47"/>
      <c r="H290" s="47"/>
      <c r="I290" s="226">
        <f t="shared" si="28"/>
        <v>0</v>
      </c>
      <c r="J290" s="215" t="s">
        <v>611</v>
      </c>
    </row>
    <row r="291" spans="1:10" ht="15.75" x14ac:dyDescent="0.25">
      <c r="A291" s="17" t="s">
        <v>158</v>
      </c>
      <c r="B291" s="251" t="s">
        <v>68</v>
      </c>
      <c r="C291" s="47"/>
      <c r="D291" s="47"/>
      <c r="E291" s="47"/>
      <c r="F291" s="17"/>
      <c r="G291" s="47"/>
      <c r="H291" s="47"/>
      <c r="I291" s="226">
        <f t="shared" si="28"/>
        <v>0</v>
      </c>
      <c r="J291" s="215" t="s">
        <v>611</v>
      </c>
    </row>
    <row r="292" spans="1:10" ht="25.5" x14ac:dyDescent="0.25">
      <c r="A292" s="17" t="s">
        <v>159</v>
      </c>
      <c r="B292" s="251" t="s">
        <v>69</v>
      </c>
      <c r="C292" s="47" t="s">
        <v>283</v>
      </c>
      <c r="D292" s="47"/>
      <c r="E292" s="47"/>
      <c r="F292" s="17"/>
      <c r="G292" s="47"/>
      <c r="H292" s="47"/>
      <c r="I292" s="226">
        <f>$I$190</f>
        <v>803.40909090909088</v>
      </c>
      <c r="J292" s="42" t="s">
        <v>328</v>
      </c>
    </row>
    <row r="293" spans="1:10" ht="15.75" x14ac:dyDescent="0.25">
      <c r="A293" s="232" t="s">
        <v>515</v>
      </c>
      <c r="B293" s="323" t="s">
        <v>516</v>
      </c>
      <c r="C293" s="223"/>
      <c r="D293" s="223"/>
      <c r="E293" s="223"/>
      <c r="F293" s="236"/>
      <c r="G293" s="223"/>
      <c r="H293" s="375"/>
      <c r="I293" s="322">
        <f>SUM(I294:I299)</f>
        <v>2209.659090909091</v>
      </c>
      <c r="J293" s="233" t="s">
        <v>524</v>
      </c>
    </row>
    <row r="294" spans="1:10" ht="31.5" x14ac:dyDescent="0.25">
      <c r="A294" s="17" t="s">
        <v>154</v>
      </c>
      <c r="B294" s="251" t="s">
        <v>64</v>
      </c>
      <c r="C294" s="47"/>
      <c r="D294" s="47"/>
      <c r="E294" s="47"/>
      <c r="F294" s="17"/>
      <c r="G294" s="47"/>
      <c r="H294" s="47"/>
      <c r="I294" s="226">
        <f t="shared" ref="I294:I298" si="29">I251*2</f>
        <v>0</v>
      </c>
      <c r="J294" s="215" t="s">
        <v>611</v>
      </c>
    </row>
    <row r="295" spans="1:10" ht="15.75" x14ac:dyDescent="0.25">
      <c r="A295" s="17" t="s">
        <v>155</v>
      </c>
      <c r="B295" s="251" t="s">
        <v>65</v>
      </c>
      <c r="C295" s="47" t="s">
        <v>517</v>
      </c>
      <c r="D295" s="47"/>
      <c r="E295" s="47"/>
      <c r="F295" s="17"/>
      <c r="G295" s="47"/>
      <c r="H295" s="47"/>
      <c r="I295" s="226">
        <f t="shared" si="29"/>
        <v>468.75</v>
      </c>
      <c r="J295" s="215"/>
    </row>
    <row r="296" spans="1:10" ht="15.75" x14ac:dyDescent="0.25">
      <c r="A296" s="17" t="s">
        <v>156</v>
      </c>
      <c r="B296" s="251" t="s">
        <v>66</v>
      </c>
      <c r="C296" s="47" t="s">
        <v>517</v>
      </c>
      <c r="D296" s="47"/>
      <c r="E296" s="47"/>
      <c r="F296" s="17"/>
      <c r="G296" s="47"/>
      <c r="H296" s="47"/>
      <c r="I296" s="226">
        <f t="shared" si="29"/>
        <v>937.5</v>
      </c>
      <c r="J296" s="215"/>
    </row>
    <row r="297" spans="1:10" ht="15.75" x14ac:dyDescent="0.25">
      <c r="A297" s="17" t="s">
        <v>157</v>
      </c>
      <c r="B297" s="251" t="s">
        <v>67</v>
      </c>
      <c r="C297" s="47"/>
      <c r="D297" s="47"/>
      <c r="E297" s="47"/>
      <c r="F297" s="17"/>
      <c r="G297" s="47"/>
      <c r="H297" s="47"/>
      <c r="I297" s="226">
        <f t="shared" si="29"/>
        <v>0</v>
      </c>
      <c r="J297" s="215" t="s">
        <v>611</v>
      </c>
    </row>
    <row r="298" spans="1:10" ht="15.75" x14ac:dyDescent="0.25">
      <c r="A298" s="17" t="s">
        <v>158</v>
      </c>
      <c r="B298" s="251" t="s">
        <v>68</v>
      </c>
      <c r="C298" s="47"/>
      <c r="D298" s="47"/>
      <c r="E298" s="47"/>
      <c r="F298" s="17"/>
      <c r="G298" s="47"/>
      <c r="H298" s="47"/>
      <c r="I298" s="226">
        <f t="shared" si="29"/>
        <v>0</v>
      </c>
      <c r="J298" s="215" t="s">
        <v>611</v>
      </c>
    </row>
    <row r="299" spans="1:10" ht="25.5" x14ac:dyDescent="0.25">
      <c r="A299" s="17" t="s">
        <v>159</v>
      </c>
      <c r="B299" s="251" t="s">
        <v>69</v>
      </c>
      <c r="C299" s="47" t="s">
        <v>283</v>
      </c>
      <c r="D299" s="47"/>
      <c r="E299" s="47"/>
      <c r="F299" s="17"/>
      <c r="G299" s="47"/>
      <c r="H299" s="47"/>
      <c r="I299" s="226">
        <f>$I$190</f>
        <v>803.40909090909088</v>
      </c>
      <c r="J299" s="42" t="s">
        <v>328</v>
      </c>
    </row>
    <row r="300" spans="1:10" ht="15.75" x14ac:dyDescent="0.25">
      <c r="A300" s="232" t="s">
        <v>518</v>
      </c>
      <c r="B300" s="323" t="s">
        <v>519</v>
      </c>
      <c r="C300" s="223"/>
      <c r="D300" s="223"/>
      <c r="E300" s="223"/>
      <c r="F300" s="236"/>
      <c r="G300" s="223"/>
      <c r="H300" s="223"/>
      <c r="I300" s="322">
        <f>SUM(I301:I306)</f>
        <v>3615.909090909091</v>
      </c>
      <c r="J300" s="233" t="s">
        <v>525</v>
      </c>
    </row>
    <row r="301" spans="1:10" ht="31.5" x14ac:dyDescent="0.25">
      <c r="A301" s="17" t="s">
        <v>154</v>
      </c>
      <c r="B301" s="251" t="s">
        <v>64</v>
      </c>
      <c r="C301" s="47"/>
      <c r="D301" s="47"/>
      <c r="E301" s="47"/>
      <c r="F301" s="17"/>
      <c r="G301" s="47"/>
      <c r="H301" s="47"/>
      <c r="I301" s="226">
        <f t="shared" ref="I301:I305" si="30">I258*2</f>
        <v>0</v>
      </c>
      <c r="J301" s="215" t="s">
        <v>611</v>
      </c>
    </row>
    <row r="302" spans="1:10" ht="15.75" x14ac:dyDescent="0.25">
      <c r="A302" s="17" t="s">
        <v>155</v>
      </c>
      <c r="B302" s="251" t="s">
        <v>65</v>
      </c>
      <c r="C302" s="47" t="s">
        <v>520</v>
      </c>
      <c r="D302" s="47"/>
      <c r="E302" s="47"/>
      <c r="F302" s="17"/>
      <c r="G302" s="47"/>
      <c r="H302" s="47"/>
      <c r="I302" s="226">
        <f t="shared" si="30"/>
        <v>937.5</v>
      </c>
      <c r="J302" s="215"/>
    </row>
    <row r="303" spans="1:10" ht="15.75" x14ac:dyDescent="0.25">
      <c r="A303" s="17" t="s">
        <v>156</v>
      </c>
      <c r="B303" s="251" t="s">
        <v>66</v>
      </c>
      <c r="C303" s="47" t="s">
        <v>520</v>
      </c>
      <c r="D303" s="47"/>
      <c r="E303" s="47"/>
      <c r="F303" s="17"/>
      <c r="G303" s="47"/>
      <c r="H303" s="47"/>
      <c r="I303" s="226">
        <f t="shared" si="30"/>
        <v>1875</v>
      </c>
      <c r="J303" s="215"/>
    </row>
    <row r="304" spans="1:10" ht="15.75" x14ac:dyDescent="0.25">
      <c r="A304" s="17" t="s">
        <v>157</v>
      </c>
      <c r="B304" s="251" t="s">
        <v>67</v>
      </c>
      <c r="C304" s="47"/>
      <c r="D304" s="47"/>
      <c r="E304" s="47"/>
      <c r="F304" s="17"/>
      <c r="G304" s="47"/>
      <c r="H304" s="47"/>
      <c r="I304" s="226">
        <f t="shared" si="30"/>
        <v>0</v>
      </c>
      <c r="J304" s="215" t="s">
        <v>611</v>
      </c>
    </row>
    <row r="305" spans="1:11" ht="15.75" x14ac:dyDescent="0.25">
      <c r="A305" s="17" t="s">
        <v>158</v>
      </c>
      <c r="B305" s="251" t="s">
        <v>68</v>
      </c>
      <c r="C305" s="47"/>
      <c r="D305" s="47"/>
      <c r="E305" s="47"/>
      <c r="F305" s="17"/>
      <c r="G305" s="47"/>
      <c r="H305" s="47"/>
      <c r="I305" s="226">
        <f t="shared" si="30"/>
        <v>0</v>
      </c>
      <c r="J305" s="215" t="s">
        <v>611</v>
      </c>
    </row>
    <row r="306" spans="1:11" ht="25.5" x14ac:dyDescent="0.25">
      <c r="A306" s="17" t="s">
        <v>159</v>
      </c>
      <c r="B306" s="251" t="s">
        <v>69</v>
      </c>
      <c r="C306" s="47" t="s">
        <v>283</v>
      </c>
      <c r="D306" s="47"/>
      <c r="E306" s="47"/>
      <c r="F306" s="17"/>
      <c r="G306" s="47"/>
      <c r="H306" s="47"/>
      <c r="I306" s="226">
        <f>$I$190</f>
        <v>803.40909090909088</v>
      </c>
      <c r="J306" s="42" t="s">
        <v>328</v>
      </c>
    </row>
    <row r="307" spans="1:11" ht="15.75" x14ac:dyDescent="0.25">
      <c r="A307" s="4" t="s">
        <v>168</v>
      </c>
      <c r="B307" s="148" t="s">
        <v>70</v>
      </c>
      <c r="C307" s="127"/>
      <c r="D307" s="127"/>
      <c r="E307" s="127"/>
      <c r="F307" s="5"/>
      <c r="G307" s="127"/>
      <c r="H307" s="127"/>
      <c r="I307" s="163"/>
      <c r="J307" s="215"/>
    </row>
    <row r="308" spans="1:11" ht="31.5" x14ac:dyDescent="0.25">
      <c r="A308" s="17" t="s">
        <v>162</v>
      </c>
      <c r="B308" s="251" t="s">
        <v>71</v>
      </c>
      <c r="C308" s="47" t="s">
        <v>248</v>
      </c>
      <c r="D308" s="47"/>
      <c r="E308" s="47"/>
      <c r="F308" s="17"/>
      <c r="G308" s="47"/>
      <c r="H308" s="47"/>
      <c r="I308" s="226">
        <f>SUM(I309:I311)</f>
        <v>12236.40909090909</v>
      </c>
      <c r="J308" s="215" t="s">
        <v>318</v>
      </c>
    </row>
    <row r="309" spans="1:11" ht="15.75" x14ac:dyDescent="0.25">
      <c r="A309" s="5" t="s">
        <v>89</v>
      </c>
      <c r="B309" s="48" t="s">
        <v>192</v>
      </c>
      <c r="C309" s="127" t="s">
        <v>107</v>
      </c>
      <c r="D309" s="127">
        <v>2.2000000000000002</v>
      </c>
      <c r="E309" s="127">
        <v>0.18759999999999999</v>
      </c>
      <c r="F309" s="5">
        <f>VLOOKUP(B309,Table1[[TÊN VẬT TƯ]:[THỜI HẠN]],4,0)</f>
        <v>8</v>
      </c>
      <c r="G309" s="227">
        <f>VLOOKUP(B309,Table1[[TÊN VẬT TƯ]:[THỜI HẠN]],3,0)</f>
        <v>15000000</v>
      </c>
      <c r="H309" s="228">
        <f t="shared" ref="H309:H311" si="31">G309/F309/500</f>
        <v>3750</v>
      </c>
      <c r="I309" s="163">
        <f t="shared" ref="I309:I311" si="32">H309*E309</f>
        <v>703.5</v>
      </c>
      <c r="J309" s="215"/>
      <c r="K309" s="200"/>
    </row>
    <row r="310" spans="1:11" ht="15.75" x14ac:dyDescent="0.25">
      <c r="A310" s="5" t="s">
        <v>89</v>
      </c>
      <c r="B310" s="48" t="s">
        <v>193</v>
      </c>
      <c r="C310" s="127" t="s">
        <v>200</v>
      </c>
      <c r="D310" s="127">
        <v>0.4</v>
      </c>
      <c r="E310" s="127">
        <v>2.1141000000000001</v>
      </c>
      <c r="F310" s="5">
        <f>VLOOKUP(B310,Table1[[TÊN VẬT TƯ]:[THỜI HẠN]],4,0)</f>
        <v>5</v>
      </c>
      <c r="G310" s="227">
        <f>VLOOKUP(B310,Table1[[TÊN VẬT TƯ]:[THỜI HẠN]],3,0)</f>
        <v>13636363.636363635</v>
      </c>
      <c r="H310" s="228">
        <f t="shared" si="31"/>
        <v>5454.545454545454</v>
      </c>
      <c r="I310" s="163">
        <f t="shared" si="32"/>
        <v>11531.454545454544</v>
      </c>
      <c r="J310" s="215"/>
    </row>
    <row r="311" spans="1:11" ht="15.75" x14ac:dyDescent="0.25">
      <c r="A311" s="5" t="s">
        <v>89</v>
      </c>
      <c r="B311" s="48" t="s">
        <v>236</v>
      </c>
      <c r="C311" s="127" t="s">
        <v>107</v>
      </c>
      <c r="D311" s="127">
        <v>0.4</v>
      </c>
      <c r="E311" s="127">
        <v>4.0000000000000002E-4</v>
      </c>
      <c r="F311" s="5">
        <f>VLOOKUP(B311,Table1[[TÊN VẬT TƯ]:[THỜI HẠN]],4,0)</f>
        <v>5</v>
      </c>
      <c r="G311" s="227">
        <f>VLOOKUP(B311,Table1[[TÊN VẬT TƯ]:[THỜI HẠN]],3,0)</f>
        <v>9090909.0909090899</v>
      </c>
      <c r="H311" s="228">
        <f t="shared" si="31"/>
        <v>3636.3636363636356</v>
      </c>
      <c r="I311" s="163">
        <f t="shared" si="32"/>
        <v>1.4545454545454544</v>
      </c>
      <c r="J311" s="215"/>
    </row>
    <row r="312" spans="1:11" ht="28.5" customHeight="1" x14ac:dyDescent="0.25">
      <c r="A312" s="17" t="s">
        <v>163</v>
      </c>
      <c r="B312" s="251" t="s">
        <v>72</v>
      </c>
      <c r="C312" s="75"/>
      <c r="D312" s="47"/>
      <c r="E312" s="47"/>
      <c r="F312" s="17"/>
      <c r="G312" s="47"/>
      <c r="H312" s="47"/>
      <c r="I312" s="226"/>
      <c r="J312" s="238" t="s">
        <v>446</v>
      </c>
    </row>
    <row r="313" spans="1:11" ht="15.75" x14ac:dyDescent="0.25">
      <c r="A313" s="5" t="s">
        <v>89</v>
      </c>
      <c r="B313" s="251" t="s">
        <v>653</v>
      </c>
      <c r="C313" s="75" t="s">
        <v>323</v>
      </c>
      <c r="D313" s="47"/>
      <c r="E313" s="277"/>
      <c r="F313" s="17"/>
      <c r="G313" s="47"/>
      <c r="H313" s="47"/>
      <c r="I313" s="226">
        <f>'THIETBI-TT26'!I11</f>
        <v>65.831382545454545</v>
      </c>
      <c r="J313" s="238"/>
    </row>
    <row r="314" spans="1:11" ht="15.75" x14ac:dyDescent="0.25">
      <c r="A314" s="5" t="s">
        <v>89</v>
      </c>
      <c r="B314" s="251" t="s">
        <v>654</v>
      </c>
      <c r="C314" s="75" t="s">
        <v>646</v>
      </c>
      <c r="D314" s="47"/>
      <c r="E314" s="47"/>
      <c r="F314" s="17"/>
      <c r="G314" s="47"/>
      <c r="H314" s="47"/>
      <c r="I314" s="226">
        <f>I313*2</f>
        <v>131.66276509090909</v>
      </c>
      <c r="J314" s="238" t="s">
        <v>616</v>
      </c>
    </row>
    <row r="315" spans="1:11" ht="15.75" x14ac:dyDescent="0.25">
      <c r="A315" s="5" t="s">
        <v>89</v>
      </c>
      <c r="B315" s="251" t="s">
        <v>655</v>
      </c>
      <c r="C315" s="75" t="s">
        <v>647</v>
      </c>
      <c r="D315" s="47"/>
      <c r="E315" s="47"/>
      <c r="F315" s="17"/>
      <c r="G315" s="47"/>
      <c r="H315" s="47"/>
      <c r="I315" s="226">
        <f>I313*4</f>
        <v>263.32553018181818</v>
      </c>
      <c r="J315" s="238" t="s">
        <v>650</v>
      </c>
    </row>
    <row r="316" spans="1:11" ht="15.75" x14ac:dyDescent="0.25">
      <c r="A316" s="5" t="s">
        <v>89</v>
      </c>
      <c r="B316" s="251" t="s">
        <v>656</v>
      </c>
      <c r="C316" s="75" t="s">
        <v>648</v>
      </c>
      <c r="D316" s="47"/>
      <c r="E316" s="47"/>
      <c r="F316" s="17"/>
      <c r="G316" s="47"/>
      <c r="H316" s="47"/>
      <c r="I316" s="226">
        <f>I313*8</f>
        <v>526.65106036363636</v>
      </c>
      <c r="J316" s="238" t="s">
        <v>651</v>
      </c>
    </row>
    <row r="317" spans="1:11" ht="15.75" x14ac:dyDescent="0.25">
      <c r="A317" s="5" t="s">
        <v>89</v>
      </c>
      <c r="B317" s="251" t="s">
        <v>657</v>
      </c>
      <c r="C317" s="75" t="s">
        <v>649</v>
      </c>
      <c r="D317" s="47"/>
      <c r="E317" s="47"/>
      <c r="F317" s="17"/>
      <c r="G317" s="47"/>
      <c r="H317" s="47"/>
      <c r="I317" s="226">
        <f>I313*16</f>
        <v>1053.3021207272727</v>
      </c>
      <c r="J317" s="238" t="s">
        <v>652</v>
      </c>
    </row>
    <row r="318" spans="1:11" ht="15.75" x14ac:dyDescent="0.25">
      <c r="A318" s="17" t="s">
        <v>164</v>
      </c>
      <c r="B318" s="251" t="s">
        <v>73</v>
      </c>
      <c r="C318" s="47"/>
      <c r="D318" s="47"/>
      <c r="E318" s="47"/>
      <c r="F318" s="17"/>
      <c r="G318" s="47"/>
      <c r="H318" s="47"/>
      <c r="I318" s="226">
        <v>0</v>
      </c>
      <c r="J318" s="215" t="s">
        <v>54</v>
      </c>
    </row>
    <row r="319" spans="1:11" ht="38.25" x14ac:dyDescent="0.25">
      <c r="A319" s="17" t="s">
        <v>165</v>
      </c>
      <c r="B319" s="251" t="s">
        <v>74</v>
      </c>
      <c r="C319" s="47"/>
      <c r="D319" s="47"/>
      <c r="E319" s="47"/>
      <c r="F319" s="17"/>
      <c r="G319" s="47"/>
      <c r="H319" s="47"/>
      <c r="I319" s="226"/>
      <c r="J319" s="238" t="s">
        <v>327</v>
      </c>
    </row>
    <row r="320" spans="1:11" ht="15.75" x14ac:dyDescent="0.25">
      <c r="A320" s="17" t="s">
        <v>574</v>
      </c>
      <c r="B320" s="251" t="s">
        <v>16</v>
      </c>
      <c r="C320" s="17" t="s">
        <v>322</v>
      </c>
      <c r="D320" s="47"/>
      <c r="E320" s="17"/>
      <c r="F320" s="17"/>
      <c r="G320" s="17"/>
      <c r="H320" s="253">
        <f>SUM(H321:H349)</f>
        <v>0</v>
      </c>
      <c r="I320" s="254">
        <f>$I$11</f>
        <v>0.21852272727272729</v>
      </c>
      <c r="J320" s="238"/>
    </row>
    <row r="321" spans="1:10" ht="15.75" x14ac:dyDescent="0.25">
      <c r="A321" s="17" t="s">
        <v>575</v>
      </c>
      <c r="B321" s="251" t="s">
        <v>17</v>
      </c>
      <c r="C321" s="47"/>
      <c r="D321" s="47"/>
      <c r="E321" s="47"/>
      <c r="F321" s="17"/>
      <c r="G321" s="47"/>
      <c r="H321" s="47"/>
      <c r="I321" s="226"/>
      <c r="J321" s="238"/>
    </row>
    <row r="322" spans="1:10" ht="15.75" x14ac:dyDescent="0.25">
      <c r="A322" s="232" t="s">
        <v>228</v>
      </c>
      <c r="B322" s="278" t="s">
        <v>413</v>
      </c>
      <c r="C322" s="231"/>
      <c r="D322" s="231"/>
      <c r="E322" s="231"/>
      <c r="F322" s="232"/>
      <c r="G322" s="231"/>
      <c r="H322" s="231"/>
      <c r="I322" s="322">
        <f>SUM(I323:I330)</f>
        <v>616.63418181818179</v>
      </c>
      <c r="J322" s="165"/>
    </row>
    <row r="323" spans="1:10" ht="15.75" x14ac:dyDescent="0.25">
      <c r="A323" s="159" t="s">
        <v>89</v>
      </c>
      <c r="B323" s="48" t="s">
        <v>224</v>
      </c>
      <c r="C323" s="127" t="s">
        <v>322</v>
      </c>
      <c r="D323" s="127"/>
      <c r="E323" s="127"/>
      <c r="F323" s="5"/>
      <c r="G323" s="127"/>
      <c r="H323" s="127"/>
      <c r="I323" s="163">
        <f>VLOOKUP(THIETBI[[#This Row],[Danh mục thiết bị]],'THIETBI-TT26'!$B$21:$I$44,8,0)</f>
        <v>13.405090909090911</v>
      </c>
      <c r="J323" s="162"/>
    </row>
    <row r="324" spans="1:10" ht="15.75" x14ac:dyDescent="0.25">
      <c r="A324" s="159" t="s">
        <v>89</v>
      </c>
      <c r="B324" s="48" t="s">
        <v>232</v>
      </c>
      <c r="C324" s="127" t="s">
        <v>323</v>
      </c>
      <c r="D324" s="127"/>
      <c r="E324" s="127"/>
      <c r="F324" s="5"/>
      <c r="G324" s="127"/>
      <c r="H324" s="127"/>
      <c r="I324" s="163">
        <f>VLOOKUP(THIETBI[[#This Row],[Danh mục thiết bị]],'THIETBI-TT26'!$B$21:$I$44,8,0)</f>
        <v>223.41818181818181</v>
      </c>
      <c r="J324" s="162"/>
    </row>
    <row r="325" spans="1:10" ht="15.75" x14ac:dyDescent="0.25">
      <c r="A325" s="159" t="s">
        <v>89</v>
      </c>
      <c r="B325" s="48" t="s">
        <v>225</v>
      </c>
      <c r="C325" s="127" t="s">
        <v>322</v>
      </c>
      <c r="D325" s="127"/>
      <c r="E325" s="127"/>
      <c r="F325" s="5"/>
      <c r="G325" s="127"/>
      <c r="H325" s="127"/>
      <c r="I325" s="163">
        <f>VLOOKUP(THIETBI[[#This Row],[Danh mục thiết bị]],'THIETBI-TT26'!$B$21:$I$44,8,0)</f>
        <v>13.405090909090911</v>
      </c>
      <c r="J325" s="162"/>
    </row>
    <row r="326" spans="1:10" ht="15.75" x14ac:dyDescent="0.25">
      <c r="A326" s="159" t="s">
        <v>89</v>
      </c>
      <c r="B326" s="48" t="s">
        <v>233</v>
      </c>
      <c r="C326" s="127" t="s">
        <v>323</v>
      </c>
      <c r="D326" s="127"/>
      <c r="E326" s="127"/>
      <c r="F326" s="5"/>
      <c r="G326" s="127"/>
      <c r="H326" s="127"/>
      <c r="I326" s="163">
        <f>VLOOKUP(THIETBI[[#This Row],[Danh mục thiết bị]],'THIETBI-TT26'!$B$21:$I$44,8,0)</f>
        <v>223.41818181818181</v>
      </c>
      <c r="J326" s="162"/>
    </row>
    <row r="327" spans="1:10" ht="31.5" x14ac:dyDescent="0.25">
      <c r="A327" s="159" t="s">
        <v>89</v>
      </c>
      <c r="B327" s="48" t="s">
        <v>226</v>
      </c>
      <c r="C327" s="127" t="s">
        <v>322</v>
      </c>
      <c r="D327" s="127"/>
      <c r="E327" s="127"/>
      <c r="F327" s="5"/>
      <c r="G327" s="127"/>
      <c r="H327" s="127"/>
      <c r="I327" s="163">
        <f>VLOOKUP(THIETBI[[#This Row],[Danh mục thiết bị]],'THIETBI-TT26'!$B$21:$I$44,8,0)</f>
        <v>13.405090909090911</v>
      </c>
      <c r="J327" s="162"/>
    </row>
    <row r="328" spans="1:10" ht="31.5" x14ac:dyDescent="0.25">
      <c r="A328" s="159" t="s">
        <v>89</v>
      </c>
      <c r="B328" s="48" t="s">
        <v>234</v>
      </c>
      <c r="C328" s="127" t="s">
        <v>323</v>
      </c>
      <c r="D328" s="127"/>
      <c r="E328" s="127"/>
      <c r="F328" s="5"/>
      <c r="G328" s="127"/>
      <c r="H328" s="127"/>
      <c r="I328" s="163">
        <f>VLOOKUP(THIETBI[[#This Row],[Danh mục thiết bị]],'THIETBI-TT26'!$B$21:$I$44,8,0)</f>
        <v>58.088727272727262</v>
      </c>
      <c r="J328" s="162"/>
    </row>
    <row r="329" spans="1:10" ht="15.75" x14ac:dyDescent="0.25">
      <c r="A329" s="159" t="s">
        <v>89</v>
      </c>
      <c r="B329" s="48" t="s">
        <v>613</v>
      </c>
      <c r="C329" s="127" t="s">
        <v>322</v>
      </c>
      <c r="D329" s="127"/>
      <c r="E329" s="127"/>
      <c r="F329" s="5"/>
      <c r="G329" s="127"/>
      <c r="H329" s="127"/>
      <c r="I329" s="376">
        <f>VLOOKUP(THIETBI[[#This Row],[Danh mục thiết bị]],'THIETBI-TT26'!$B$21:$I$44,8,0)</f>
        <v>13.405090909090911</v>
      </c>
      <c r="J329" s="162"/>
    </row>
    <row r="330" spans="1:10" ht="31.5" x14ac:dyDescent="0.25">
      <c r="A330" s="159" t="s">
        <v>89</v>
      </c>
      <c r="B330" s="48" t="s">
        <v>227</v>
      </c>
      <c r="C330" s="127" t="s">
        <v>323</v>
      </c>
      <c r="D330" s="127"/>
      <c r="E330" s="127"/>
      <c r="F330" s="5"/>
      <c r="G330" s="127"/>
      <c r="H330" s="127"/>
      <c r="I330" s="163">
        <f>VLOOKUP(THIETBI[[#This Row],[Danh mục thiết bị]],'THIETBI-TT26'!$B$21:$I$44,8,0)</f>
        <v>58.088727272727262</v>
      </c>
      <c r="J330" s="162"/>
    </row>
    <row r="331" spans="1:10" ht="15.75" x14ac:dyDescent="0.25">
      <c r="A331" s="232" t="s">
        <v>229</v>
      </c>
      <c r="B331" s="278" t="s">
        <v>414</v>
      </c>
      <c r="C331" s="231"/>
      <c r="D331" s="231"/>
      <c r="E331" s="231"/>
      <c r="F331" s="232"/>
      <c r="G331" s="231"/>
      <c r="H331" s="231"/>
      <c r="I331" s="322">
        <f>SUM(I332:I339)</f>
        <v>775.30909090909086</v>
      </c>
      <c r="J331" s="165"/>
    </row>
    <row r="332" spans="1:10" ht="15.75" x14ac:dyDescent="0.25">
      <c r="A332" s="159" t="s">
        <v>89</v>
      </c>
      <c r="B332" s="48" t="s">
        <v>224</v>
      </c>
      <c r="C332" s="127" t="s">
        <v>322</v>
      </c>
      <c r="D332" s="127"/>
      <c r="E332" s="127"/>
      <c r="F332" s="5"/>
      <c r="G332" s="127"/>
      <c r="H332" s="127"/>
      <c r="I332" s="163">
        <f>VLOOKUP(THIETBI[[#This Row],[Danh mục thiết bị]],'THIETBI-TT26'!$B$46:$I$67,8,0)</f>
        <v>16.854545454545455</v>
      </c>
      <c r="J332" s="162"/>
    </row>
    <row r="333" spans="1:10" ht="15.75" x14ac:dyDescent="0.25">
      <c r="A333" s="159" t="s">
        <v>89</v>
      </c>
      <c r="B333" s="48" t="s">
        <v>232</v>
      </c>
      <c r="C333" s="127" t="s">
        <v>323</v>
      </c>
      <c r="D333" s="127"/>
      <c r="E333" s="127"/>
      <c r="F333" s="5"/>
      <c r="G333" s="127"/>
      <c r="H333" s="127"/>
      <c r="I333" s="163">
        <f>VLOOKUP(THIETBI[[#This Row],[Danh mục thiết bị]],'THIETBI-TT26'!$B$46:$I$67,8,0)</f>
        <v>280.90909090909088</v>
      </c>
      <c r="J333" s="162"/>
    </row>
    <row r="334" spans="1:10" ht="15.75" x14ac:dyDescent="0.25">
      <c r="A334" s="159" t="s">
        <v>89</v>
      </c>
      <c r="B334" s="48" t="s">
        <v>225</v>
      </c>
      <c r="C334" s="127" t="s">
        <v>322</v>
      </c>
      <c r="D334" s="127"/>
      <c r="E334" s="127"/>
      <c r="F334" s="5"/>
      <c r="G334" s="127"/>
      <c r="H334" s="127"/>
      <c r="I334" s="163">
        <f>VLOOKUP(THIETBI[[#This Row],[Danh mục thiết bị]],'THIETBI-TT26'!$B$46:$I$67,8,0)</f>
        <v>16.854545454545455</v>
      </c>
      <c r="J334" s="162"/>
    </row>
    <row r="335" spans="1:10" ht="15.75" x14ac:dyDescent="0.25">
      <c r="A335" s="159" t="s">
        <v>89</v>
      </c>
      <c r="B335" s="48" t="s">
        <v>233</v>
      </c>
      <c r="C335" s="127" t="s">
        <v>323</v>
      </c>
      <c r="D335" s="127"/>
      <c r="E335" s="127"/>
      <c r="F335" s="5"/>
      <c r="G335" s="127"/>
      <c r="H335" s="127"/>
      <c r="I335" s="163">
        <f>VLOOKUP(THIETBI[[#This Row],[Danh mục thiết bị]],'THIETBI-TT26'!$B$46:$I$67,8,0)</f>
        <v>280.90909090909088</v>
      </c>
      <c r="J335" s="162"/>
    </row>
    <row r="336" spans="1:10" ht="31.5" x14ac:dyDescent="0.25">
      <c r="A336" s="159" t="s">
        <v>89</v>
      </c>
      <c r="B336" s="48" t="s">
        <v>226</v>
      </c>
      <c r="C336" s="127" t="s">
        <v>322</v>
      </c>
      <c r="D336" s="127"/>
      <c r="E336" s="127"/>
      <c r="F336" s="5"/>
      <c r="G336" s="127"/>
      <c r="H336" s="127"/>
      <c r="I336" s="163">
        <f>VLOOKUP(THIETBI[[#This Row],[Danh mục thiết bị]],'THIETBI-TT26'!$B$46:$I$67,8,0)</f>
        <v>16.854545454545455</v>
      </c>
      <c r="J336" s="162"/>
    </row>
    <row r="337" spans="1:10" ht="31.5" x14ac:dyDescent="0.25">
      <c r="A337" s="159" t="s">
        <v>89</v>
      </c>
      <c r="B337" s="48" t="s">
        <v>234</v>
      </c>
      <c r="C337" s="127" t="s">
        <v>323</v>
      </c>
      <c r="D337" s="127"/>
      <c r="E337" s="127"/>
      <c r="F337" s="5"/>
      <c r="G337" s="127"/>
      <c r="H337" s="127"/>
      <c r="I337" s="163">
        <f>VLOOKUP(THIETBI[[#This Row],[Danh mục thiết bị]],'THIETBI-TT26'!$B$46:$I$67,8,0)</f>
        <v>73.036363636363618</v>
      </c>
      <c r="J337" s="162"/>
    </row>
    <row r="338" spans="1:10" ht="15.75" x14ac:dyDescent="0.25">
      <c r="A338" s="159" t="s">
        <v>89</v>
      </c>
      <c r="B338" s="48" t="s">
        <v>612</v>
      </c>
      <c r="C338" s="127" t="s">
        <v>322</v>
      </c>
      <c r="D338" s="127"/>
      <c r="E338" s="127"/>
      <c r="F338" s="5"/>
      <c r="G338" s="127"/>
      <c r="H338" s="127"/>
      <c r="I338" s="376">
        <f>VLOOKUP(THIETBI[[#This Row],[Danh mục thiết bị]],'THIETBI-TT26'!$B$46:$I$67,8,0)</f>
        <v>16.854545454545455</v>
      </c>
      <c r="J338" s="162"/>
    </row>
    <row r="339" spans="1:10" ht="31.5" x14ac:dyDescent="0.25">
      <c r="A339" s="159" t="s">
        <v>89</v>
      </c>
      <c r="B339" s="48" t="s">
        <v>227</v>
      </c>
      <c r="C339" s="127" t="s">
        <v>323</v>
      </c>
      <c r="D339" s="127"/>
      <c r="E339" s="127"/>
      <c r="F339" s="5"/>
      <c r="G339" s="127"/>
      <c r="H339" s="127"/>
      <c r="I339" s="163">
        <f>VLOOKUP(THIETBI[[#This Row],[Danh mục thiết bị]],'THIETBI-TT26'!$B$46:$I$67,8,0)</f>
        <v>73.036363636363618</v>
      </c>
      <c r="J339" s="162"/>
    </row>
    <row r="340" spans="1:10" ht="15.75" x14ac:dyDescent="0.25">
      <c r="A340" s="232" t="s">
        <v>230</v>
      </c>
      <c r="B340" s="278" t="s">
        <v>415</v>
      </c>
      <c r="C340" s="231"/>
      <c r="D340" s="231"/>
      <c r="E340" s="231"/>
      <c r="F340" s="232"/>
      <c r="G340" s="231"/>
      <c r="H340" s="231"/>
      <c r="I340" s="322">
        <f>SUM(I341:I348)</f>
        <v>1016.7087272727271</v>
      </c>
      <c r="J340" s="165"/>
    </row>
    <row r="341" spans="1:10" ht="15.75" x14ac:dyDescent="0.25">
      <c r="A341" s="159" t="s">
        <v>89</v>
      </c>
      <c r="B341" s="48" t="s">
        <v>224</v>
      </c>
      <c r="C341" s="127" t="s">
        <v>322</v>
      </c>
      <c r="D341" s="127"/>
      <c r="E341" s="127"/>
      <c r="F341" s="5"/>
      <c r="G341" s="127"/>
      <c r="H341" s="127"/>
      <c r="I341" s="163">
        <f>VLOOKUP(THIETBI[[#This Row],[Danh mục thiết bị]],'THIETBI-TT26'!$B$71:$I$92,8,0)</f>
        <v>22.102363636363638</v>
      </c>
      <c r="J341" s="162"/>
    </row>
    <row r="342" spans="1:10" ht="15.75" x14ac:dyDescent="0.25">
      <c r="A342" s="159" t="s">
        <v>89</v>
      </c>
      <c r="B342" s="48" t="s">
        <v>232</v>
      </c>
      <c r="C342" s="127" t="s">
        <v>323</v>
      </c>
      <c r="D342" s="127"/>
      <c r="E342" s="127"/>
      <c r="F342" s="5"/>
      <c r="G342" s="127"/>
      <c r="H342" s="127"/>
      <c r="I342" s="163">
        <f>VLOOKUP(THIETBI[[#This Row],[Danh mục thiết bị]],'THIETBI-TT26'!$B$71:$I$92,8,0)</f>
        <v>368.37272727272722</v>
      </c>
      <c r="J342" s="162"/>
    </row>
    <row r="343" spans="1:10" ht="15.75" x14ac:dyDescent="0.25">
      <c r="A343" s="159" t="s">
        <v>89</v>
      </c>
      <c r="B343" s="48" t="s">
        <v>225</v>
      </c>
      <c r="C343" s="127" t="s">
        <v>322</v>
      </c>
      <c r="D343" s="127"/>
      <c r="E343" s="127"/>
      <c r="F343" s="5"/>
      <c r="G343" s="127"/>
      <c r="H343" s="127"/>
      <c r="I343" s="163">
        <f>VLOOKUP(THIETBI[[#This Row],[Danh mục thiết bị]],'THIETBI-TT26'!$B$71:$I$92,8,0)</f>
        <v>22.102363636363638</v>
      </c>
      <c r="J343" s="162"/>
    </row>
    <row r="344" spans="1:10" ht="15.75" x14ac:dyDescent="0.25">
      <c r="A344" s="159" t="s">
        <v>89</v>
      </c>
      <c r="B344" s="48" t="s">
        <v>233</v>
      </c>
      <c r="C344" s="127" t="s">
        <v>323</v>
      </c>
      <c r="D344" s="127"/>
      <c r="E344" s="127"/>
      <c r="F344" s="5"/>
      <c r="G344" s="127"/>
      <c r="H344" s="127"/>
      <c r="I344" s="163">
        <f>VLOOKUP(THIETBI[[#This Row],[Danh mục thiết bị]],'THIETBI-TT26'!$B$71:$I$92,8,0)</f>
        <v>368.37272727272722</v>
      </c>
      <c r="J344" s="162"/>
    </row>
    <row r="345" spans="1:10" ht="31.5" x14ac:dyDescent="0.25">
      <c r="A345" s="159" t="s">
        <v>89</v>
      </c>
      <c r="B345" s="48" t="s">
        <v>226</v>
      </c>
      <c r="C345" s="127" t="s">
        <v>322</v>
      </c>
      <c r="D345" s="127"/>
      <c r="E345" s="127"/>
      <c r="F345" s="5"/>
      <c r="G345" s="127"/>
      <c r="H345" s="127"/>
      <c r="I345" s="163">
        <f>VLOOKUP(THIETBI[[#This Row],[Danh mục thiết bị]],'THIETBI-TT26'!$B$71:$I$92,8,0)</f>
        <v>22.102363636363638</v>
      </c>
      <c r="J345" s="162"/>
    </row>
    <row r="346" spans="1:10" ht="31.5" x14ac:dyDescent="0.25">
      <c r="A346" s="159" t="s">
        <v>89</v>
      </c>
      <c r="B346" s="48" t="s">
        <v>234</v>
      </c>
      <c r="C346" s="127" t="s">
        <v>323</v>
      </c>
      <c r="D346" s="127"/>
      <c r="E346" s="127"/>
      <c r="F346" s="5"/>
      <c r="G346" s="127"/>
      <c r="H346" s="127"/>
      <c r="I346" s="163">
        <f>VLOOKUP(THIETBI[[#This Row],[Danh mục thiết bị]],'THIETBI-TT26'!$B$71:$I$92,8,0)</f>
        <v>95.776909090909072</v>
      </c>
      <c r="J346" s="162"/>
    </row>
    <row r="347" spans="1:10" ht="15.75" x14ac:dyDescent="0.25">
      <c r="A347" s="159" t="s">
        <v>89</v>
      </c>
      <c r="B347" s="48" t="s">
        <v>612</v>
      </c>
      <c r="C347" s="127" t="s">
        <v>322</v>
      </c>
      <c r="D347" s="127"/>
      <c r="E347" s="127"/>
      <c r="F347" s="5"/>
      <c r="G347" s="127"/>
      <c r="H347" s="127"/>
      <c r="I347" s="376">
        <f>VLOOKUP(THIETBI[[#This Row],[Danh mục thiết bị]],'THIETBI-TT26'!$B$71:$I$92,8,0)</f>
        <v>22.102363636363638</v>
      </c>
      <c r="J347" s="162"/>
    </row>
    <row r="348" spans="1:10" ht="31.5" x14ac:dyDescent="0.25">
      <c r="A348" s="159" t="s">
        <v>89</v>
      </c>
      <c r="B348" s="48" t="s">
        <v>227</v>
      </c>
      <c r="C348" s="127" t="s">
        <v>323</v>
      </c>
      <c r="D348" s="127"/>
      <c r="E348" s="127"/>
      <c r="F348" s="5"/>
      <c r="G348" s="127"/>
      <c r="H348" s="127"/>
      <c r="I348" s="163">
        <f>VLOOKUP(THIETBI[[#This Row],[Danh mục thiết bị]],'THIETBI-TT26'!$B$71:$I$92,8,0)</f>
        <v>95.776909090909072</v>
      </c>
      <c r="J348" s="162"/>
    </row>
    <row r="349" spans="1:10" ht="38.25" x14ac:dyDescent="0.25">
      <c r="A349" s="17" t="s">
        <v>166</v>
      </c>
      <c r="B349" s="251" t="s">
        <v>75</v>
      </c>
      <c r="C349" s="47"/>
      <c r="D349" s="47"/>
      <c r="E349" s="47"/>
      <c r="F349" s="17"/>
      <c r="G349" s="47"/>
      <c r="H349" s="47"/>
      <c r="I349" s="226"/>
      <c r="J349" s="238" t="s">
        <v>447</v>
      </c>
    </row>
    <row r="350" spans="1:10" ht="15.75" x14ac:dyDescent="0.25">
      <c r="A350" s="5" t="s">
        <v>89</v>
      </c>
      <c r="B350" s="251" t="s">
        <v>653</v>
      </c>
      <c r="C350" s="75" t="s">
        <v>323</v>
      </c>
      <c r="D350" s="47"/>
      <c r="E350" s="47"/>
      <c r="F350" s="17"/>
      <c r="G350" s="47"/>
      <c r="H350" s="47"/>
      <c r="I350" s="226">
        <f>'THIETBI-TT26'!I15</f>
        <v>11.236363636363636</v>
      </c>
      <c r="J350" s="238"/>
    </row>
    <row r="351" spans="1:10" ht="15.75" x14ac:dyDescent="0.25">
      <c r="A351" s="5" t="s">
        <v>89</v>
      </c>
      <c r="B351" s="251" t="s">
        <v>654</v>
      </c>
      <c r="C351" s="75" t="s">
        <v>646</v>
      </c>
      <c r="D351" s="47"/>
      <c r="E351" s="47"/>
      <c r="F351" s="17"/>
      <c r="G351" s="47"/>
      <c r="H351" s="47"/>
      <c r="I351" s="226">
        <f>I350*2</f>
        <v>22.472727272727273</v>
      </c>
      <c r="J351" s="238" t="s">
        <v>616</v>
      </c>
    </row>
    <row r="352" spans="1:10" ht="15.75" x14ac:dyDescent="0.25">
      <c r="A352" s="5" t="s">
        <v>89</v>
      </c>
      <c r="B352" s="251" t="s">
        <v>655</v>
      </c>
      <c r="C352" s="75" t="s">
        <v>647</v>
      </c>
      <c r="D352" s="47"/>
      <c r="E352" s="47"/>
      <c r="F352" s="17"/>
      <c r="G352" s="47"/>
      <c r="H352" s="47"/>
      <c r="I352" s="226">
        <f>I350*4</f>
        <v>44.945454545454545</v>
      </c>
      <c r="J352" s="238" t="s">
        <v>650</v>
      </c>
    </row>
    <row r="353" spans="1:10" ht="15.75" x14ac:dyDescent="0.25">
      <c r="A353" s="5" t="s">
        <v>89</v>
      </c>
      <c r="B353" s="251" t="s">
        <v>656</v>
      </c>
      <c r="C353" s="75" t="s">
        <v>648</v>
      </c>
      <c r="D353" s="47"/>
      <c r="E353" s="47"/>
      <c r="F353" s="17"/>
      <c r="G353" s="47"/>
      <c r="H353" s="47"/>
      <c r="I353" s="226">
        <f>I350*8</f>
        <v>89.890909090909091</v>
      </c>
      <c r="J353" s="238" t="s">
        <v>651</v>
      </c>
    </row>
    <row r="354" spans="1:10" ht="15.75" x14ac:dyDescent="0.25">
      <c r="A354" s="5" t="s">
        <v>89</v>
      </c>
      <c r="B354" s="251" t="s">
        <v>657</v>
      </c>
      <c r="C354" s="75" t="s">
        <v>649</v>
      </c>
      <c r="D354" s="47"/>
      <c r="E354" s="47"/>
      <c r="F354" s="17"/>
      <c r="G354" s="47"/>
      <c r="H354" s="47"/>
      <c r="I354" s="226">
        <f>I350*16</f>
        <v>179.78181818181818</v>
      </c>
      <c r="J354" s="238" t="s">
        <v>652</v>
      </c>
    </row>
    <row r="355" spans="1:10" ht="31.5" x14ac:dyDescent="0.25">
      <c r="A355" s="17" t="s">
        <v>167</v>
      </c>
      <c r="B355" s="251" t="s">
        <v>76</v>
      </c>
      <c r="C355" s="47" t="s">
        <v>248</v>
      </c>
      <c r="D355" s="47"/>
      <c r="E355" s="47"/>
      <c r="F355" s="17"/>
      <c r="G355" s="47"/>
      <c r="H355" s="47"/>
      <c r="I355" s="226">
        <f>I356</f>
        <v>703.5</v>
      </c>
      <c r="J355" s="215" t="s">
        <v>318</v>
      </c>
    </row>
    <row r="356" spans="1:10" ht="15.75" x14ac:dyDescent="0.25">
      <c r="A356" s="5" t="s">
        <v>89</v>
      </c>
      <c r="B356" s="48" t="s">
        <v>192</v>
      </c>
      <c r="C356" s="127" t="s">
        <v>107</v>
      </c>
      <c r="D356" s="127">
        <v>2.2000000000000002</v>
      </c>
      <c r="E356" s="127">
        <v>0.18759999999999999</v>
      </c>
      <c r="F356" s="5">
        <f>VLOOKUP(B356,Table1[[TÊN VẬT TƯ]:[THỜI HẠN]],4,0)</f>
        <v>8</v>
      </c>
      <c r="G356" s="227">
        <f>VLOOKUP(B356,Table1[[TÊN VẬT TƯ]:[THỜI HẠN]],3,0)</f>
        <v>15000000</v>
      </c>
      <c r="H356" s="228">
        <f>G356/F356/500</f>
        <v>3750</v>
      </c>
      <c r="I356" s="163">
        <f>H356*E356</f>
        <v>703.5</v>
      </c>
      <c r="J356" s="215"/>
    </row>
    <row r="357" spans="1:10" ht="15.75" x14ac:dyDescent="0.25">
      <c r="A357" s="4" t="s">
        <v>173</v>
      </c>
      <c r="B357" s="148" t="s">
        <v>77</v>
      </c>
      <c r="C357" s="127"/>
      <c r="D357" s="127"/>
      <c r="E357" s="127"/>
      <c r="F357" s="5"/>
      <c r="G357" s="127"/>
      <c r="H357" s="127"/>
      <c r="I357" s="163"/>
      <c r="J357" s="215"/>
    </row>
    <row r="358" spans="1:10" ht="15.75" x14ac:dyDescent="0.25">
      <c r="A358" s="4"/>
      <c r="B358" s="278" t="s">
        <v>500</v>
      </c>
      <c r="C358" s="127"/>
      <c r="D358" s="127"/>
      <c r="E358" s="127"/>
      <c r="F358" s="5"/>
      <c r="G358" s="127"/>
      <c r="H358" s="127"/>
      <c r="I358" s="322">
        <f>I359+I360+I361+I365</f>
        <v>1137.6933090909092</v>
      </c>
      <c r="J358" s="239" t="s">
        <v>502</v>
      </c>
    </row>
    <row r="359" spans="1:10" ht="15.75" x14ac:dyDescent="0.25">
      <c r="A359" s="17" t="s">
        <v>169</v>
      </c>
      <c r="B359" s="251" t="s">
        <v>78</v>
      </c>
      <c r="C359" s="47"/>
      <c r="D359" s="47"/>
      <c r="E359" s="47"/>
      <c r="F359" s="17"/>
      <c r="G359" s="47"/>
      <c r="H359" s="47"/>
      <c r="I359" s="226">
        <v>0</v>
      </c>
      <c r="J359" s="217" t="s">
        <v>611</v>
      </c>
    </row>
    <row r="360" spans="1:10" ht="31.5" x14ac:dyDescent="0.25">
      <c r="A360" s="17" t="s">
        <v>170</v>
      </c>
      <c r="B360" s="251" t="s">
        <v>79</v>
      </c>
      <c r="C360" s="47"/>
      <c r="D360" s="47"/>
      <c r="E360" s="47"/>
      <c r="F360" s="17"/>
      <c r="G360" s="47"/>
      <c r="H360" s="47"/>
      <c r="I360" s="226">
        <v>0</v>
      </c>
      <c r="J360" s="217" t="s">
        <v>54</v>
      </c>
    </row>
    <row r="361" spans="1:10" ht="47.25" x14ac:dyDescent="0.25">
      <c r="A361" s="17" t="s">
        <v>171</v>
      </c>
      <c r="B361" s="251" t="s">
        <v>80</v>
      </c>
      <c r="C361" s="47" t="s">
        <v>248</v>
      </c>
      <c r="D361" s="47"/>
      <c r="E361" s="47"/>
      <c r="F361" s="17"/>
      <c r="G361" s="47"/>
      <c r="H361" s="47"/>
      <c r="I361" s="226">
        <f>SUM(I362:I364)</f>
        <v>334.28421818181823</v>
      </c>
      <c r="J361" s="215" t="s">
        <v>329</v>
      </c>
    </row>
    <row r="362" spans="1:10" ht="15.75" x14ac:dyDescent="0.25">
      <c r="A362" s="5" t="s">
        <v>89</v>
      </c>
      <c r="B362" s="48" t="s">
        <v>193</v>
      </c>
      <c r="C362" s="127" t="s">
        <v>200</v>
      </c>
      <c r="D362" s="127">
        <v>0.4</v>
      </c>
      <c r="E362" s="127">
        <v>8.0000000000000002E-3</v>
      </c>
      <c r="F362" s="5">
        <f>VLOOKUP(B362,Table1[[TÊN VẬT TƯ]:[THỜI HẠN]],4,0)</f>
        <v>5</v>
      </c>
      <c r="G362" s="227">
        <f>VLOOKUP(B362,Table1[[TÊN VẬT TƯ]:[THỜI HẠN]],3,0)</f>
        <v>13636363.636363635</v>
      </c>
      <c r="H362" s="228">
        <f t="shared" ref="H362:H364" si="33">G362/F362/500</f>
        <v>5454.545454545454</v>
      </c>
      <c r="I362" s="163">
        <f t="shared" ref="I362:I364" si="34">H362*E362</f>
        <v>43.636363636363633</v>
      </c>
      <c r="J362" s="215"/>
    </row>
    <row r="363" spans="1:10" ht="15.75" x14ac:dyDescent="0.25">
      <c r="A363" s="5" t="s">
        <v>89</v>
      </c>
      <c r="B363" s="48" t="s">
        <v>236</v>
      </c>
      <c r="C363" s="127" t="s">
        <v>107</v>
      </c>
      <c r="D363" s="127">
        <v>0.4</v>
      </c>
      <c r="E363" s="127">
        <v>4.0000000000000001E-3</v>
      </c>
      <c r="F363" s="5">
        <f>VLOOKUP(B363,Table1[[TÊN VẬT TƯ]:[THỜI HẠN]],4,0)</f>
        <v>5</v>
      </c>
      <c r="G363" s="227">
        <f>VLOOKUP(B363,Table1[[TÊN VẬT TƯ]:[THỜI HẠN]],3,0)</f>
        <v>9090909.0909090899</v>
      </c>
      <c r="H363" s="228">
        <f t="shared" si="33"/>
        <v>3636.3636363636356</v>
      </c>
      <c r="I363" s="163">
        <f t="shared" si="34"/>
        <v>14.545454545454543</v>
      </c>
      <c r="J363" s="215"/>
    </row>
    <row r="364" spans="1:10" ht="15.75" x14ac:dyDescent="0.25">
      <c r="A364" s="5" t="s">
        <v>89</v>
      </c>
      <c r="B364" s="48" t="s">
        <v>266</v>
      </c>
      <c r="C364" s="127" t="s">
        <v>107</v>
      </c>
      <c r="D364" s="127">
        <v>0.4</v>
      </c>
      <c r="E364" s="127">
        <v>8.0000000000000002E-3</v>
      </c>
      <c r="F364" s="5">
        <f>VLOOKUP(B364,Table1[[TÊN VẬT TƯ]:[THỜI HẠN]],4,0)</f>
        <v>5</v>
      </c>
      <c r="G364" s="227">
        <f>VLOOKUP(B364,Table1[[TÊN VẬT TƯ]:[THỜI HẠN]],3,0)</f>
        <v>86282000</v>
      </c>
      <c r="H364" s="228">
        <f t="shared" si="33"/>
        <v>34512.800000000003</v>
      </c>
      <c r="I364" s="163">
        <f t="shared" si="34"/>
        <v>276.10240000000005</v>
      </c>
      <c r="J364" s="215"/>
    </row>
    <row r="365" spans="1:10" ht="31.5" x14ac:dyDescent="0.25">
      <c r="A365" s="17" t="s">
        <v>172</v>
      </c>
      <c r="B365" s="251" t="s">
        <v>81</v>
      </c>
      <c r="C365" s="47" t="s">
        <v>283</v>
      </c>
      <c r="D365" s="47"/>
      <c r="E365" s="47"/>
      <c r="F365" s="17"/>
      <c r="G365" s="47"/>
      <c r="H365" s="47"/>
      <c r="I365" s="257">
        <f>$I$190</f>
        <v>803.40909090909088</v>
      </c>
      <c r="J365" s="42" t="s">
        <v>328</v>
      </c>
    </row>
    <row r="366" spans="1:10" ht="15.75" x14ac:dyDescent="0.25">
      <c r="A366" s="232"/>
      <c r="B366" s="278" t="s">
        <v>501</v>
      </c>
      <c r="C366" s="47" t="s">
        <v>248</v>
      </c>
      <c r="D366" s="231"/>
      <c r="E366" s="231"/>
      <c r="F366" s="232"/>
      <c r="G366" s="231"/>
      <c r="H366" s="231"/>
      <c r="I366" s="322">
        <f>SUM(I367:I370)</f>
        <v>1090.8935185454545</v>
      </c>
      <c r="J366" s="239">
        <v>0.86</v>
      </c>
    </row>
    <row r="367" spans="1:10" ht="15.75" x14ac:dyDescent="0.25">
      <c r="A367" s="17" t="s">
        <v>169</v>
      </c>
      <c r="B367" s="251" t="s">
        <v>78</v>
      </c>
      <c r="C367" s="47"/>
      <c r="D367" s="47"/>
      <c r="E367" s="47"/>
      <c r="F367" s="17"/>
      <c r="G367" s="47"/>
      <c r="H367" s="47"/>
      <c r="I367" s="226">
        <f>I359*0.86</f>
        <v>0</v>
      </c>
      <c r="J367" s="217" t="s">
        <v>611</v>
      </c>
    </row>
    <row r="368" spans="1:10" ht="31.5" x14ac:dyDescent="0.25">
      <c r="A368" s="17" t="s">
        <v>170</v>
      </c>
      <c r="B368" s="251" t="s">
        <v>79</v>
      </c>
      <c r="C368" s="47"/>
      <c r="D368" s="47"/>
      <c r="E368" s="47"/>
      <c r="F368" s="17"/>
      <c r="G368" s="47"/>
      <c r="H368" s="47"/>
      <c r="I368" s="226">
        <f>I360*0.86</f>
        <v>0</v>
      </c>
      <c r="J368" s="217" t="s">
        <v>54</v>
      </c>
    </row>
    <row r="369" spans="1:10" ht="47.25" x14ac:dyDescent="0.25">
      <c r="A369" s="17" t="s">
        <v>171</v>
      </c>
      <c r="B369" s="251" t="s">
        <v>80</v>
      </c>
      <c r="C369" s="47" t="s">
        <v>248</v>
      </c>
      <c r="D369" s="47"/>
      <c r="E369" s="47"/>
      <c r="F369" s="17"/>
      <c r="G369" s="47"/>
      <c r="H369" s="47"/>
      <c r="I369" s="226">
        <f>I361*0.86</f>
        <v>287.48442763636365</v>
      </c>
      <c r="J369" s="215" t="s">
        <v>329</v>
      </c>
    </row>
    <row r="370" spans="1:10" ht="31.5" x14ac:dyDescent="0.25">
      <c r="A370" s="17" t="s">
        <v>172</v>
      </c>
      <c r="B370" s="251" t="s">
        <v>81</v>
      </c>
      <c r="C370" s="47" t="s">
        <v>283</v>
      </c>
      <c r="D370" s="47"/>
      <c r="E370" s="47"/>
      <c r="F370" s="17"/>
      <c r="G370" s="47"/>
      <c r="H370" s="47"/>
      <c r="I370" s="382">
        <f>$I$190</f>
        <v>803.40909090909088</v>
      </c>
      <c r="J370" s="42" t="s">
        <v>328</v>
      </c>
    </row>
    <row r="371" spans="1:10" ht="38.25" x14ac:dyDescent="0.25">
      <c r="A371" s="4" t="s">
        <v>82</v>
      </c>
      <c r="B371" s="148" t="s">
        <v>84</v>
      </c>
      <c r="C371" s="127"/>
      <c r="D371" s="127"/>
      <c r="E371" s="127"/>
      <c r="F371" s="5"/>
      <c r="G371" s="127"/>
      <c r="H371" s="127"/>
      <c r="I371" s="163"/>
      <c r="J371" s="42" t="s">
        <v>527</v>
      </c>
    </row>
    <row r="372" spans="1:10" ht="15.75" x14ac:dyDescent="0.25">
      <c r="A372" s="4" t="s">
        <v>174</v>
      </c>
      <c r="B372" s="148" t="s">
        <v>93</v>
      </c>
      <c r="C372" s="127"/>
      <c r="D372" s="127"/>
      <c r="E372" s="127"/>
      <c r="F372" s="5"/>
      <c r="G372" s="127"/>
      <c r="H372" s="127"/>
      <c r="I372" s="163"/>
      <c r="J372" s="215"/>
    </row>
    <row r="373" spans="1:10" ht="31.5" x14ac:dyDescent="0.25">
      <c r="A373" s="17" t="s">
        <v>175</v>
      </c>
      <c r="B373" s="251" t="s">
        <v>85</v>
      </c>
      <c r="C373" s="47"/>
      <c r="D373" s="47"/>
      <c r="E373" s="47"/>
      <c r="F373" s="17"/>
      <c r="G373" s="47"/>
      <c r="H373" s="47"/>
      <c r="I373" s="226">
        <v>0</v>
      </c>
      <c r="J373" s="215" t="s">
        <v>611</v>
      </c>
    </row>
    <row r="374" spans="1:10" ht="15.75" x14ac:dyDescent="0.25">
      <c r="A374" s="17" t="s">
        <v>176</v>
      </c>
      <c r="B374" s="251" t="s">
        <v>86</v>
      </c>
      <c r="C374" s="47"/>
      <c r="D374" s="47"/>
      <c r="E374" s="47"/>
      <c r="F374" s="17"/>
      <c r="G374" s="47"/>
      <c r="H374" s="47"/>
      <c r="I374" s="226"/>
      <c r="J374" s="215"/>
    </row>
    <row r="375" spans="1:10" ht="15.75" x14ac:dyDescent="0.25">
      <c r="A375" s="17" t="s">
        <v>558</v>
      </c>
      <c r="B375" s="252" t="s">
        <v>90</v>
      </c>
      <c r="C375" s="47" t="s">
        <v>355</v>
      </c>
      <c r="D375" s="47"/>
      <c r="E375" s="47"/>
      <c r="F375" s="17"/>
      <c r="G375" s="47"/>
      <c r="H375" s="47"/>
      <c r="I375" s="226">
        <f>I376+I377</f>
        <v>57.61363636363636</v>
      </c>
      <c r="J375" s="215" t="s">
        <v>346</v>
      </c>
    </row>
    <row r="376" spans="1:10" ht="15.75" x14ac:dyDescent="0.25">
      <c r="A376" s="14" t="s">
        <v>89</v>
      </c>
      <c r="B376" s="225" t="s">
        <v>192</v>
      </c>
      <c r="C376" s="127" t="s">
        <v>107</v>
      </c>
      <c r="D376" s="127" t="s">
        <v>340</v>
      </c>
      <c r="E376" s="127">
        <v>1.0999999999999999E-2</v>
      </c>
      <c r="F376" s="5">
        <f>VLOOKUP(B376,Table1[[TÊN VẬT TƯ]:[THỜI HẠN]],4,0)</f>
        <v>8</v>
      </c>
      <c r="G376" s="227">
        <f>VLOOKUP(B376,Table1[[TÊN VẬT TƯ]:[THỜI HẠN]],3,0)</f>
        <v>15000000</v>
      </c>
      <c r="H376" s="228">
        <f t="shared" ref="H376:H377" si="35">G376/F376/500</f>
        <v>3750</v>
      </c>
      <c r="I376" s="163">
        <f t="shared" ref="I376:I377" si="36">H376*E376</f>
        <v>41.25</v>
      </c>
      <c r="J376" s="215"/>
    </row>
    <row r="377" spans="1:10" ht="15.75" x14ac:dyDescent="0.25">
      <c r="A377" s="14" t="s">
        <v>89</v>
      </c>
      <c r="B377" s="225" t="s">
        <v>193</v>
      </c>
      <c r="C377" s="127" t="s">
        <v>200</v>
      </c>
      <c r="D377" s="127" t="s">
        <v>342</v>
      </c>
      <c r="E377" s="127">
        <v>3.0000000000000001E-3</v>
      </c>
      <c r="F377" s="5">
        <f>VLOOKUP(B377,Table1[[TÊN VẬT TƯ]:[THỜI HẠN]],4,0)</f>
        <v>5</v>
      </c>
      <c r="G377" s="227">
        <f>VLOOKUP(B377,Table1[[TÊN VẬT TƯ]:[THỜI HẠN]],3,0)</f>
        <v>13636363.636363635</v>
      </c>
      <c r="H377" s="228">
        <f t="shared" si="35"/>
        <v>5454.545454545454</v>
      </c>
      <c r="I377" s="163">
        <f t="shared" si="36"/>
        <v>16.363636363636363</v>
      </c>
      <c r="J377" s="215"/>
    </row>
    <row r="378" spans="1:10" ht="15.75" x14ac:dyDescent="0.25">
      <c r="A378" s="17" t="s">
        <v>559</v>
      </c>
      <c r="B378" s="252" t="s">
        <v>91</v>
      </c>
      <c r="C378" s="47" t="s">
        <v>323</v>
      </c>
      <c r="D378" s="47"/>
      <c r="E378" s="47"/>
      <c r="F378" s="17"/>
      <c r="G378" s="47"/>
      <c r="H378" s="47"/>
      <c r="I378" s="226">
        <f>I379+I380</f>
        <v>53.86363636363636</v>
      </c>
      <c r="J378" s="215" t="s">
        <v>347</v>
      </c>
    </row>
    <row r="379" spans="1:10" ht="15.75" x14ac:dyDescent="0.25">
      <c r="A379" s="14" t="s">
        <v>89</v>
      </c>
      <c r="B379" s="225" t="s">
        <v>192</v>
      </c>
      <c r="C379" s="127" t="s">
        <v>107</v>
      </c>
      <c r="D379" s="127" t="s">
        <v>340</v>
      </c>
      <c r="E379" s="240">
        <v>0.01</v>
      </c>
      <c r="F379" s="5">
        <f>VLOOKUP(B379,Table1[[TÊN VẬT TƯ]:[THỜI HẠN]],4,0)</f>
        <v>8</v>
      </c>
      <c r="G379" s="227">
        <f>VLOOKUP(B379,Table1[[TÊN VẬT TƯ]:[THỜI HẠN]],3,0)</f>
        <v>15000000</v>
      </c>
      <c r="H379" s="228">
        <f t="shared" ref="H379:H380" si="37">G379/F379/500</f>
        <v>3750</v>
      </c>
      <c r="I379" s="163">
        <f t="shared" ref="I379:I380" si="38">H379*E379</f>
        <v>37.5</v>
      </c>
      <c r="J379" s="215"/>
    </row>
    <row r="380" spans="1:10" ht="15.75" x14ac:dyDescent="0.25">
      <c r="A380" s="14" t="s">
        <v>89</v>
      </c>
      <c r="B380" s="225" t="s">
        <v>193</v>
      </c>
      <c r="C380" s="127" t="s">
        <v>200</v>
      </c>
      <c r="D380" s="127" t="s">
        <v>342</v>
      </c>
      <c r="E380" s="127" t="s">
        <v>343</v>
      </c>
      <c r="F380" s="5">
        <f>VLOOKUP(B380,Table1[[TÊN VẬT TƯ]:[THỜI HẠN]],4,0)</f>
        <v>5</v>
      </c>
      <c r="G380" s="227">
        <f>VLOOKUP(B380,Table1[[TÊN VẬT TƯ]:[THỜI HẠN]],3,0)</f>
        <v>13636363.636363635</v>
      </c>
      <c r="H380" s="228">
        <f t="shared" si="37"/>
        <v>5454.545454545454</v>
      </c>
      <c r="I380" s="163">
        <f t="shared" si="38"/>
        <v>16.363636363636363</v>
      </c>
      <c r="J380" s="215"/>
    </row>
    <row r="381" spans="1:10" ht="15.75" x14ac:dyDescent="0.25">
      <c r="A381" s="17" t="s">
        <v>560</v>
      </c>
      <c r="B381" s="252" t="s">
        <v>92</v>
      </c>
      <c r="C381" s="47" t="s">
        <v>322</v>
      </c>
      <c r="D381" s="47"/>
      <c r="E381" s="47"/>
      <c r="F381" s="17"/>
      <c r="G381" s="47"/>
      <c r="H381" s="47"/>
      <c r="I381" s="226">
        <f>I382+I383</f>
        <v>0.18204545454545454</v>
      </c>
      <c r="J381" s="215" t="s">
        <v>348</v>
      </c>
    </row>
    <row r="382" spans="1:10" ht="15.75" x14ac:dyDescent="0.25">
      <c r="A382" s="14" t="s">
        <v>89</v>
      </c>
      <c r="B382" s="225" t="s">
        <v>192</v>
      </c>
      <c r="C382" s="127" t="s">
        <v>107</v>
      </c>
      <c r="D382" s="127" t="s">
        <v>340</v>
      </c>
      <c r="E382" s="127" t="s">
        <v>344</v>
      </c>
      <c r="F382" s="5">
        <f>VLOOKUP(B382,Table1[[TÊN VẬT TƯ]:[THỜI HẠN]],4,0)</f>
        <v>8</v>
      </c>
      <c r="G382" s="227">
        <f>VLOOKUP(B382,Table1[[TÊN VẬT TƯ]:[THỜI HẠN]],3,0)</f>
        <v>15000000</v>
      </c>
      <c r="H382" s="228">
        <f t="shared" ref="H382:H383" si="39">G382/F382/500</f>
        <v>3750</v>
      </c>
      <c r="I382" s="163">
        <f t="shared" ref="I382:I383" si="40">H382*E382</f>
        <v>0.1275</v>
      </c>
      <c r="J382" s="215"/>
    </row>
    <row r="383" spans="1:10" ht="15.75" x14ac:dyDescent="0.25">
      <c r="A383" s="14" t="s">
        <v>89</v>
      </c>
      <c r="B383" s="225" t="s">
        <v>193</v>
      </c>
      <c r="C383" s="127" t="s">
        <v>200</v>
      </c>
      <c r="D383" s="127" t="s">
        <v>342</v>
      </c>
      <c r="E383" s="127" t="s">
        <v>345</v>
      </c>
      <c r="F383" s="5">
        <f>VLOOKUP(B383,Table1[[TÊN VẬT TƯ]:[THỜI HẠN]],4,0)</f>
        <v>5</v>
      </c>
      <c r="G383" s="227">
        <f>VLOOKUP(B383,Table1[[TÊN VẬT TƯ]:[THỜI HẠN]],3,0)</f>
        <v>13636363.636363635</v>
      </c>
      <c r="H383" s="228">
        <f t="shared" si="39"/>
        <v>5454.545454545454</v>
      </c>
      <c r="I383" s="163">
        <f t="shared" si="40"/>
        <v>5.4545454545454543E-2</v>
      </c>
      <c r="J383" s="215"/>
    </row>
    <row r="384" spans="1:10" ht="15.75" x14ac:dyDescent="0.25">
      <c r="A384" s="17" t="s">
        <v>180</v>
      </c>
      <c r="B384" s="251" t="s">
        <v>87</v>
      </c>
      <c r="C384" s="47"/>
      <c r="D384" s="47"/>
      <c r="E384" s="47"/>
      <c r="F384" s="17"/>
      <c r="G384" s="47"/>
      <c r="H384" s="47"/>
      <c r="I384" s="226">
        <v>0</v>
      </c>
      <c r="J384" s="215" t="s">
        <v>611</v>
      </c>
    </row>
    <row r="385" spans="1:10" ht="15.75" x14ac:dyDescent="0.25">
      <c r="A385" s="17" t="s">
        <v>181</v>
      </c>
      <c r="B385" s="251" t="s">
        <v>88</v>
      </c>
      <c r="C385" s="47"/>
      <c r="D385" s="47"/>
      <c r="E385" s="47"/>
      <c r="F385" s="17"/>
      <c r="G385" s="47"/>
      <c r="H385" s="47"/>
      <c r="I385" s="226">
        <v>0</v>
      </c>
      <c r="J385" s="215" t="s">
        <v>54</v>
      </c>
    </row>
    <row r="386" spans="1:10" ht="15.75" x14ac:dyDescent="0.25">
      <c r="A386" s="4" t="s">
        <v>177</v>
      </c>
      <c r="B386" s="148" t="s">
        <v>94</v>
      </c>
      <c r="C386" s="127"/>
      <c r="D386" s="127"/>
      <c r="E386" s="127"/>
      <c r="F386" s="5"/>
      <c r="G386" s="127"/>
      <c r="H386" s="127"/>
      <c r="I386" s="163"/>
      <c r="J386" s="241">
        <v>0.82</v>
      </c>
    </row>
    <row r="387" spans="1:10" ht="31.5" x14ac:dyDescent="0.25">
      <c r="A387" s="17" t="s">
        <v>178</v>
      </c>
      <c r="B387" s="251" t="s">
        <v>85</v>
      </c>
      <c r="C387" s="47"/>
      <c r="D387" s="47"/>
      <c r="E387" s="47"/>
      <c r="F387" s="17"/>
      <c r="G387" s="47"/>
      <c r="H387" s="47"/>
      <c r="I387" s="226">
        <v>0</v>
      </c>
      <c r="J387" s="215" t="s">
        <v>611</v>
      </c>
    </row>
    <row r="388" spans="1:10" ht="15.75" x14ac:dyDescent="0.25">
      <c r="A388" s="17" t="s">
        <v>179</v>
      </c>
      <c r="B388" s="251" t="s">
        <v>86</v>
      </c>
      <c r="C388" s="47"/>
      <c r="D388" s="47"/>
      <c r="E388" s="47"/>
      <c r="F388" s="17"/>
      <c r="G388" s="47"/>
      <c r="H388" s="47"/>
      <c r="I388" s="226"/>
      <c r="J388" s="215"/>
    </row>
    <row r="389" spans="1:10" ht="15.75" x14ac:dyDescent="0.25">
      <c r="A389" s="17" t="s">
        <v>552</v>
      </c>
      <c r="B389" s="252" t="s">
        <v>90</v>
      </c>
      <c r="C389" s="47" t="s">
        <v>355</v>
      </c>
      <c r="D389" s="127"/>
      <c r="E389" s="127"/>
      <c r="F389" s="5"/>
      <c r="G389" s="127"/>
      <c r="H389" s="127"/>
      <c r="I389" s="226">
        <f>I375*0.82</f>
        <v>47.24318181818181</v>
      </c>
      <c r="J389" s="215"/>
    </row>
    <row r="390" spans="1:10" ht="15.75" x14ac:dyDescent="0.25">
      <c r="A390" s="17" t="s">
        <v>553</v>
      </c>
      <c r="B390" s="252" t="s">
        <v>91</v>
      </c>
      <c r="C390" s="47" t="s">
        <v>323</v>
      </c>
      <c r="D390" s="127"/>
      <c r="E390" s="127"/>
      <c r="F390" s="5"/>
      <c r="G390" s="127"/>
      <c r="H390" s="127"/>
      <c r="I390" s="226">
        <f>I378*0.82</f>
        <v>44.168181818181814</v>
      </c>
      <c r="J390" s="215"/>
    </row>
    <row r="391" spans="1:10" ht="15.75" x14ac:dyDescent="0.25">
      <c r="A391" s="17" t="s">
        <v>554</v>
      </c>
      <c r="B391" s="252" t="s">
        <v>92</v>
      </c>
      <c r="C391" s="47" t="s">
        <v>322</v>
      </c>
      <c r="D391" s="127"/>
      <c r="E391" s="127"/>
      <c r="F391" s="5"/>
      <c r="G391" s="127"/>
      <c r="H391" s="127"/>
      <c r="I391" s="226">
        <f>I381*0.82</f>
        <v>0.1492772727272727</v>
      </c>
      <c r="J391" s="215"/>
    </row>
    <row r="392" spans="1:10" ht="15.75" x14ac:dyDescent="0.25">
      <c r="A392" s="17" t="s">
        <v>182</v>
      </c>
      <c r="B392" s="251" t="s">
        <v>87</v>
      </c>
      <c r="C392" s="47"/>
      <c r="D392" s="47"/>
      <c r="E392" s="47"/>
      <c r="F392" s="17"/>
      <c r="G392" s="47"/>
      <c r="H392" s="47"/>
      <c r="I392" s="226">
        <v>0</v>
      </c>
      <c r="J392" s="215" t="s">
        <v>611</v>
      </c>
    </row>
    <row r="393" spans="1:10" ht="19.5" customHeight="1" x14ac:dyDescent="0.25">
      <c r="A393" s="17" t="s">
        <v>183</v>
      </c>
      <c r="B393" s="251" t="s">
        <v>88</v>
      </c>
      <c r="C393" s="47"/>
      <c r="D393" s="47"/>
      <c r="E393" s="47"/>
      <c r="F393" s="17"/>
      <c r="G393" s="47"/>
      <c r="H393" s="47"/>
      <c r="I393" s="226">
        <v>0</v>
      </c>
      <c r="J393" s="215" t="s">
        <v>54</v>
      </c>
    </row>
    <row r="394" spans="1:10" ht="31.5" x14ac:dyDescent="0.25">
      <c r="A394" s="44" t="s">
        <v>184</v>
      </c>
      <c r="B394" s="143" t="s">
        <v>95</v>
      </c>
      <c r="C394" s="127"/>
      <c r="D394" s="127"/>
      <c r="E394" s="127"/>
      <c r="F394" s="5"/>
      <c r="G394" s="127"/>
      <c r="H394" s="127"/>
      <c r="I394" s="163"/>
      <c r="J394" s="241">
        <v>1.05</v>
      </c>
    </row>
    <row r="395" spans="1:10" ht="31.5" x14ac:dyDescent="0.25">
      <c r="A395" s="17" t="s">
        <v>185</v>
      </c>
      <c r="B395" s="251" t="s">
        <v>85</v>
      </c>
      <c r="C395" s="47"/>
      <c r="D395" s="47"/>
      <c r="E395" s="47"/>
      <c r="F395" s="17"/>
      <c r="G395" s="47"/>
      <c r="H395" s="47"/>
      <c r="I395" s="226">
        <v>0</v>
      </c>
      <c r="J395" s="215" t="s">
        <v>611</v>
      </c>
    </row>
    <row r="396" spans="1:10" ht="15.75" x14ac:dyDescent="0.25">
      <c r="A396" s="17" t="s">
        <v>186</v>
      </c>
      <c r="B396" s="251" t="s">
        <v>86</v>
      </c>
      <c r="C396" s="47"/>
      <c r="D396" s="47"/>
      <c r="E396" s="47"/>
      <c r="F396" s="17"/>
      <c r="G396" s="47"/>
      <c r="H396" s="47"/>
      <c r="I396" s="226"/>
      <c r="J396" s="215"/>
    </row>
    <row r="397" spans="1:10" ht="15.75" x14ac:dyDescent="0.25">
      <c r="A397" s="17" t="s">
        <v>555</v>
      </c>
      <c r="B397" s="252" t="s">
        <v>90</v>
      </c>
      <c r="C397" s="47" t="s">
        <v>355</v>
      </c>
      <c r="D397" s="127"/>
      <c r="E397" s="127"/>
      <c r="F397" s="5"/>
      <c r="G397" s="127"/>
      <c r="H397" s="127"/>
      <c r="I397" s="226">
        <f>I375*1.05</f>
        <v>60.49431818181818</v>
      </c>
      <c r="J397" s="215"/>
    </row>
    <row r="398" spans="1:10" ht="15.75" x14ac:dyDescent="0.25">
      <c r="A398" s="17" t="s">
        <v>556</v>
      </c>
      <c r="B398" s="252" t="s">
        <v>91</v>
      </c>
      <c r="C398" s="47" t="s">
        <v>323</v>
      </c>
      <c r="D398" s="127"/>
      <c r="E398" s="127"/>
      <c r="F398" s="5"/>
      <c r="G398" s="127"/>
      <c r="H398" s="127"/>
      <c r="I398" s="226">
        <f>I378*1.05</f>
        <v>56.55681818181818</v>
      </c>
      <c r="J398" s="215"/>
    </row>
    <row r="399" spans="1:10" ht="15.75" x14ac:dyDescent="0.25">
      <c r="A399" s="17" t="s">
        <v>557</v>
      </c>
      <c r="B399" s="273" t="s">
        <v>92</v>
      </c>
      <c r="C399" s="274" t="s">
        <v>322</v>
      </c>
      <c r="D399" s="242"/>
      <c r="E399" s="242"/>
      <c r="F399" s="243"/>
      <c r="G399" s="242"/>
      <c r="H399" s="242"/>
      <c r="I399" s="226">
        <f>I381*1.05</f>
        <v>0.19114772727272727</v>
      </c>
      <c r="J399" s="244"/>
    </row>
    <row r="400" spans="1:10" ht="15.75" x14ac:dyDescent="0.25">
      <c r="A400" s="17" t="s">
        <v>187</v>
      </c>
      <c r="B400" s="251" t="s">
        <v>87</v>
      </c>
      <c r="C400" s="127"/>
      <c r="D400" s="127"/>
      <c r="E400" s="127"/>
      <c r="F400" s="5"/>
      <c r="G400" s="47"/>
      <c r="H400" s="127"/>
      <c r="I400" s="163">
        <v>0</v>
      </c>
      <c r="J400" s="215" t="s">
        <v>611</v>
      </c>
    </row>
    <row r="401" spans="1:10" ht="15.75" x14ac:dyDescent="0.25">
      <c r="A401" s="335" t="s">
        <v>188</v>
      </c>
      <c r="B401" s="336" t="s">
        <v>88</v>
      </c>
      <c r="C401" s="242"/>
      <c r="D401" s="242"/>
      <c r="E401" s="242"/>
      <c r="F401" s="243"/>
      <c r="G401" s="274"/>
      <c r="H401" s="242"/>
      <c r="I401" s="337">
        <v>0</v>
      </c>
      <c r="J401" s="244" t="s">
        <v>54</v>
      </c>
    </row>
    <row r="402" spans="1:10" ht="31.5" x14ac:dyDescent="0.25">
      <c r="A402" s="44" t="s">
        <v>617</v>
      </c>
      <c r="B402" s="383" t="s">
        <v>618</v>
      </c>
      <c r="C402" s="127"/>
      <c r="D402" s="127"/>
      <c r="E402" s="127"/>
      <c r="F402" s="5"/>
      <c r="G402" s="127"/>
      <c r="H402" s="127"/>
      <c r="I402" s="163"/>
      <c r="J402" s="215">
        <v>0.79</v>
      </c>
    </row>
    <row r="403" spans="1:10" ht="31.5" x14ac:dyDescent="0.25">
      <c r="A403" s="17" t="s">
        <v>619</v>
      </c>
      <c r="B403" s="251" t="s">
        <v>85</v>
      </c>
      <c r="C403" s="47"/>
      <c r="D403" s="47"/>
      <c r="E403" s="47"/>
      <c r="F403" s="17"/>
      <c r="G403" s="47"/>
      <c r="H403" s="47"/>
      <c r="I403" s="226">
        <v>0</v>
      </c>
      <c r="J403" s="215" t="s">
        <v>611</v>
      </c>
    </row>
    <row r="404" spans="1:10" ht="15.75" x14ac:dyDescent="0.25">
      <c r="A404" s="17" t="s">
        <v>620</v>
      </c>
      <c r="B404" s="251" t="s">
        <v>86</v>
      </c>
      <c r="C404" s="47"/>
      <c r="D404" s="47"/>
      <c r="E404" s="47"/>
      <c r="F404" s="17"/>
      <c r="G404" s="47"/>
      <c r="H404" s="47"/>
      <c r="I404" s="226"/>
      <c r="J404" s="215"/>
    </row>
    <row r="405" spans="1:10" ht="15.75" x14ac:dyDescent="0.25">
      <c r="A405" s="17" t="s">
        <v>621</v>
      </c>
      <c r="B405" s="252" t="s">
        <v>90</v>
      </c>
      <c r="C405" s="47" t="s">
        <v>355</v>
      </c>
      <c r="D405" s="47"/>
      <c r="E405" s="47"/>
      <c r="F405" s="17"/>
      <c r="G405" s="47"/>
      <c r="H405" s="47"/>
      <c r="I405" s="226">
        <f>I375*0.79</f>
        <v>45.514772727272728</v>
      </c>
      <c r="J405" s="215"/>
    </row>
    <row r="406" spans="1:10" ht="15.75" x14ac:dyDescent="0.25">
      <c r="A406" s="17" t="s">
        <v>622</v>
      </c>
      <c r="B406" s="252" t="s">
        <v>91</v>
      </c>
      <c r="C406" s="47" t="s">
        <v>323</v>
      </c>
      <c r="D406" s="47"/>
      <c r="E406" s="47"/>
      <c r="F406" s="17"/>
      <c r="G406" s="47"/>
      <c r="H406" s="47"/>
      <c r="I406" s="226">
        <f>I378*0.79</f>
        <v>42.552272727272729</v>
      </c>
      <c r="J406" s="215"/>
    </row>
    <row r="407" spans="1:10" ht="15.75" x14ac:dyDescent="0.25">
      <c r="A407" s="17" t="s">
        <v>623</v>
      </c>
      <c r="B407" s="252" t="s">
        <v>92</v>
      </c>
      <c r="C407" s="47" t="s">
        <v>322</v>
      </c>
      <c r="D407" s="47"/>
      <c r="E407" s="47"/>
      <c r="F407" s="17"/>
      <c r="G407" s="47"/>
      <c r="H407" s="47"/>
      <c r="I407" s="226">
        <f>I381*0.79</f>
        <v>0.14381590909090911</v>
      </c>
      <c r="J407" s="215"/>
    </row>
    <row r="408" spans="1:10" ht="15.75" x14ac:dyDescent="0.25">
      <c r="A408" s="17" t="s">
        <v>624</v>
      </c>
      <c r="B408" s="251" t="s">
        <v>87</v>
      </c>
      <c r="C408" s="47"/>
      <c r="D408" s="47"/>
      <c r="E408" s="47"/>
      <c r="F408" s="17"/>
      <c r="G408" s="47"/>
      <c r="H408" s="47"/>
      <c r="I408" s="226">
        <v>0</v>
      </c>
      <c r="J408" s="215" t="s">
        <v>611</v>
      </c>
    </row>
    <row r="409" spans="1:10" ht="15.75" x14ac:dyDescent="0.25">
      <c r="A409" s="335" t="s">
        <v>625</v>
      </c>
      <c r="B409" s="336" t="s">
        <v>88</v>
      </c>
      <c r="C409" s="274"/>
      <c r="D409" s="274"/>
      <c r="E409" s="274"/>
      <c r="F409" s="335"/>
      <c r="G409" s="274"/>
      <c r="H409" s="274"/>
      <c r="I409" s="384">
        <v>0</v>
      </c>
      <c r="J409" s="244" t="s">
        <v>54</v>
      </c>
    </row>
  </sheetData>
  <mergeCells count="4">
    <mergeCell ref="A1:J1"/>
    <mergeCell ref="A2:J2"/>
    <mergeCell ref="A3:J3"/>
    <mergeCell ref="A4:J4"/>
  </mergeCell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J459"/>
  <sheetViews>
    <sheetView zoomScale="85" zoomScaleNormal="85" workbookViewId="0">
      <pane xSplit="2" ySplit="6" topLeftCell="C7" activePane="bottomRight" state="frozen"/>
      <selection pane="topRight" activeCell="C1" sqref="C1"/>
      <selection pane="bottomLeft" activeCell="A7" sqref="A7"/>
      <selection pane="bottomRight" activeCell="A5" sqref="A5"/>
    </sheetView>
  </sheetViews>
  <sheetFormatPr defaultRowHeight="15" x14ac:dyDescent="0.25"/>
  <cols>
    <col min="1" max="1" width="9.28515625" bestFit="1" customWidth="1"/>
    <col min="2" max="2" width="55.28515625" customWidth="1"/>
    <col min="3" max="3" width="24.85546875" style="24" customWidth="1"/>
    <col min="4" max="4" width="11.7109375" style="24" customWidth="1"/>
    <col min="5" max="5" width="22.140625" style="24" customWidth="1"/>
    <col min="6" max="6" width="16.85546875" style="183" customWidth="1"/>
    <col min="7" max="7" width="18.42578125" style="181" customWidth="1"/>
    <col min="8" max="8" width="18.42578125" style="186" customWidth="1"/>
    <col min="9" max="9" width="35.140625" style="372" customWidth="1"/>
  </cols>
  <sheetData>
    <row r="1" spans="1:9" ht="15.75" x14ac:dyDescent="0.25">
      <c r="A1" s="443" t="s">
        <v>190</v>
      </c>
      <c r="B1" s="443"/>
      <c r="C1" s="443"/>
      <c r="D1" s="443"/>
      <c r="E1" s="443"/>
      <c r="F1" s="443"/>
      <c r="G1" s="443"/>
      <c r="H1" s="443"/>
      <c r="I1" s="9"/>
    </row>
    <row r="2" spans="1:9" ht="15.75" x14ac:dyDescent="0.25">
      <c r="A2" s="443" t="s">
        <v>55</v>
      </c>
      <c r="B2" s="443"/>
      <c r="C2" s="443"/>
      <c r="D2" s="443"/>
      <c r="E2" s="443"/>
      <c r="F2" s="443"/>
      <c r="G2" s="443"/>
      <c r="H2" s="443"/>
      <c r="I2" s="9"/>
    </row>
    <row r="3" spans="1:9" ht="15.75" x14ac:dyDescent="0.25">
      <c r="A3" s="443" t="s">
        <v>56</v>
      </c>
      <c r="B3" s="443"/>
      <c r="C3" s="443"/>
      <c r="D3" s="443"/>
      <c r="E3" s="443"/>
      <c r="F3" s="443"/>
      <c r="G3" s="443"/>
      <c r="H3" s="443"/>
      <c r="I3" s="9"/>
    </row>
    <row r="4" spans="1:9" ht="15.75" x14ac:dyDescent="0.25">
      <c r="A4" s="444" t="s">
        <v>664</v>
      </c>
      <c r="B4" s="444"/>
      <c r="C4" s="444"/>
      <c r="D4" s="444"/>
      <c r="E4" s="444"/>
      <c r="F4" s="444"/>
      <c r="G4" s="444"/>
      <c r="H4" s="444"/>
      <c r="I4" s="9"/>
    </row>
    <row r="5" spans="1:9" x14ac:dyDescent="0.25">
      <c r="A5" s="11"/>
      <c r="B5" s="9"/>
      <c r="C5" s="11"/>
      <c r="D5" s="11"/>
      <c r="E5" s="11"/>
      <c r="F5" s="182"/>
      <c r="G5" s="179"/>
      <c r="H5" s="184"/>
      <c r="I5" s="9"/>
    </row>
    <row r="6" spans="1:9" ht="31.5" x14ac:dyDescent="0.25">
      <c r="A6" s="83" t="s">
        <v>96</v>
      </c>
      <c r="B6" s="84" t="s">
        <v>643</v>
      </c>
      <c r="C6" s="84" t="s">
        <v>98</v>
      </c>
      <c r="D6" s="85" t="s">
        <v>215</v>
      </c>
      <c r="E6" s="85" t="s">
        <v>113</v>
      </c>
      <c r="F6" s="129" t="s">
        <v>110</v>
      </c>
      <c r="G6" s="180" t="s">
        <v>214</v>
      </c>
      <c r="H6" s="185" t="s">
        <v>111</v>
      </c>
      <c r="I6" s="81" t="s">
        <v>53</v>
      </c>
    </row>
    <row r="7" spans="1:9" ht="15.75" x14ac:dyDescent="0.25">
      <c r="A7" s="77" t="s">
        <v>11</v>
      </c>
      <c r="B7" s="17" t="s">
        <v>12</v>
      </c>
      <c r="C7" s="17" t="s">
        <v>13</v>
      </c>
      <c r="D7" s="17">
        <v>1</v>
      </c>
      <c r="E7" s="17">
        <v>2</v>
      </c>
      <c r="F7" s="256">
        <v>3</v>
      </c>
      <c r="G7" s="257" t="s">
        <v>217</v>
      </c>
      <c r="H7" s="258" t="s">
        <v>216</v>
      </c>
      <c r="I7" s="392"/>
    </row>
    <row r="8" spans="1:9" ht="15.75" x14ac:dyDescent="0.25">
      <c r="A8" s="133" t="s">
        <v>25</v>
      </c>
      <c r="B8" s="8" t="s">
        <v>83</v>
      </c>
      <c r="C8" s="17"/>
      <c r="D8" s="17"/>
      <c r="E8" s="17"/>
      <c r="F8" s="256"/>
      <c r="G8" s="257"/>
      <c r="H8" s="258"/>
      <c r="I8" s="392"/>
    </row>
    <row r="9" spans="1:9" ht="15.75" x14ac:dyDescent="0.25">
      <c r="A9" s="78" t="s">
        <v>114</v>
      </c>
      <c r="B9" s="143" t="s">
        <v>15</v>
      </c>
      <c r="C9" s="17"/>
      <c r="D9" s="17"/>
      <c r="E9" s="17"/>
      <c r="F9" s="256"/>
      <c r="G9" s="257"/>
      <c r="H9" s="258"/>
      <c r="I9" s="392"/>
    </row>
    <row r="10" spans="1:9" ht="15.75" x14ac:dyDescent="0.25">
      <c r="A10" s="77" t="s">
        <v>115</v>
      </c>
      <c r="B10" s="251" t="s">
        <v>16</v>
      </c>
      <c r="C10" s="17" t="s">
        <v>322</v>
      </c>
      <c r="D10" s="17"/>
      <c r="E10" s="17"/>
      <c r="F10" s="256"/>
      <c r="G10" s="257"/>
      <c r="H10" s="258">
        <f>SUM(H11:H16)</f>
        <v>0.15261362179487181</v>
      </c>
      <c r="I10" s="392" t="s">
        <v>220</v>
      </c>
    </row>
    <row r="11" spans="1:9" ht="15.75" x14ac:dyDescent="0.25">
      <c r="A11" s="260" t="s">
        <v>89</v>
      </c>
      <c r="B11" s="225" t="s">
        <v>198</v>
      </c>
      <c r="C11" s="127" t="s">
        <v>107</v>
      </c>
      <c r="D11" s="127">
        <v>60</v>
      </c>
      <c r="E11" s="127">
        <v>2.0000000000000002E-5</v>
      </c>
      <c r="F11" s="227">
        <f>VLOOKUP(DUNGCU[[#This Row],[Danh mục dụng cụ]],Table1[[TÊN VẬT TƯ]:[ĐƠN GIÁ
 (Chưa VAT)]],3,0)</f>
        <v>2454545</v>
      </c>
      <c r="G11" s="228">
        <f>F11/D11/26</f>
        <v>1573.4262820512822</v>
      </c>
      <c r="H11" s="261">
        <f>G11*E11</f>
        <v>3.1468525641025646E-2</v>
      </c>
      <c r="I11" s="393"/>
    </row>
    <row r="12" spans="1:9" ht="15.75" x14ac:dyDescent="0.25">
      <c r="A12" s="260" t="s">
        <v>89</v>
      </c>
      <c r="B12" s="225" t="s">
        <v>199</v>
      </c>
      <c r="C12" s="127" t="s">
        <v>200</v>
      </c>
      <c r="D12" s="127">
        <v>36</v>
      </c>
      <c r="E12" s="127">
        <v>8.0000000000000007E-5</v>
      </c>
      <c r="F12" s="227">
        <f>VLOOKUP(DUNGCU[[#This Row],[Danh mục dụng cụ]],Table1[[TÊN VẬT TƯ]:[ĐƠN GIÁ
 (Chưa VAT)]],3,0)</f>
        <v>105000</v>
      </c>
      <c r="G12" s="228">
        <f t="shared" ref="G12:G16" si="0">F12/D12/26</f>
        <v>112.17948717948717</v>
      </c>
      <c r="H12" s="261">
        <f t="shared" ref="H12:H16" si="1">G12*E12</f>
        <v>8.9743589743589737E-3</v>
      </c>
      <c r="I12" s="393"/>
    </row>
    <row r="13" spans="1:9" ht="15.75" x14ac:dyDescent="0.25">
      <c r="A13" s="260" t="s">
        <v>89</v>
      </c>
      <c r="B13" s="225" t="s">
        <v>201</v>
      </c>
      <c r="C13" s="127" t="s">
        <v>107</v>
      </c>
      <c r="D13" s="127">
        <v>96</v>
      </c>
      <c r="E13" s="127">
        <v>8.0000000000000007E-5</v>
      </c>
      <c r="F13" s="227">
        <f>VLOOKUP(DUNGCU[[#This Row],[Danh mục dụng cụ]],Table1[[TÊN VẬT TƯ]:[ĐƠN GIÁ
 (Chưa VAT)]],3,0)</f>
        <v>690000</v>
      </c>
      <c r="G13" s="228">
        <f t="shared" si="0"/>
        <v>276.44230769230768</v>
      </c>
      <c r="H13" s="261">
        <f t="shared" si="1"/>
        <v>2.2115384615384617E-2</v>
      </c>
      <c r="I13" s="393"/>
    </row>
    <row r="14" spans="1:9" ht="15.75" x14ac:dyDescent="0.25">
      <c r="A14" s="260" t="s">
        <v>89</v>
      </c>
      <c r="B14" s="225" t="s">
        <v>202</v>
      </c>
      <c r="C14" s="127" t="s">
        <v>107</v>
      </c>
      <c r="D14" s="127">
        <v>96</v>
      </c>
      <c r="E14" s="127">
        <v>8.0000000000000007E-5</v>
      </c>
      <c r="F14" s="227">
        <f>VLOOKUP(DUNGCU[[#This Row],[Danh mục dụng cụ]],Table1[[TÊN VẬT TƯ]:[ĐƠN GIÁ
 (Chưa VAT)]],3,0)</f>
        <v>1665000</v>
      </c>
      <c r="G14" s="228">
        <f t="shared" si="0"/>
        <v>667.06730769230774</v>
      </c>
      <c r="H14" s="261">
        <f t="shared" si="1"/>
        <v>5.336538461538462E-2</v>
      </c>
      <c r="I14" s="393"/>
    </row>
    <row r="15" spans="1:9" ht="15.75" x14ac:dyDescent="0.25">
      <c r="A15" s="260" t="s">
        <v>89</v>
      </c>
      <c r="B15" s="225" t="s">
        <v>203</v>
      </c>
      <c r="C15" s="127" t="s">
        <v>107</v>
      </c>
      <c r="D15" s="127">
        <v>36</v>
      </c>
      <c r="E15" s="127">
        <v>2.0000000000000002E-5</v>
      </c>
      <c r="F15" s="227">
        <f>VLOOKUP(DUNGCU[[#This Row],[Danh mục dụng cụ]],Table1[[TÊN VẬT TƯ]:[ĐƠN GIÁ
 (Chưa VAT)]],3,0)</f>
        <v>183000</v>
      </c>
      <c r="G15" s="228">
        <f t="shared" si="0"/>
        <v>195.5128205128205</v>
      </c>
      <c r="H15" s="261">
        <f t="shared" si="1"/>
        <v>3.9102564102564104E-3</v>
      </c>
      <c r="I15" s="393"/>
    </row>
    <row r="16" spans="1:9" ht="36.75" customHeight="1" x14ac:dyDescent="0.25">
      <c r="A16" s="260" t="s">
        <v>89</v>
      </c>
      <c r="B16" s="225" t="s">
        <v>204</v>
      </c>
      <c r="C16" s="127" t="s">
        <v>107</v>
      </c>
      <c r="D16" s="127">
        <v>24</v>
      </c>
      <c r="E16" s="127">
        <v>3.0000000000000001E-5</v>
      </c>
      <c r="F16" s="227">
        <f>VLOOKUP(DUNGCU[[#This Row],[Danh mục dụng cụ]],Table1[[TÊN VẬT TƯ]:[ĐƠN GIÁ
 (Chưa VAT)]],3,0)</f>
        <v>681818</v>
      </c>
      <c r="G16" s="228">
        <f t="shared" si="0"/>
        <v>1092.6570512820513</v>
      </c>
      <c r="H16" s="261">
        <f t="shared" si="1"/>
        <v>3.2779711538461542E-2</v>
      </c>
      <c r="I16" s="393"/>
    </row>
    <row r="17" spans="1:10" ht="36.75" customHeight="1" x14ac:dyDescent="0.25">
      <c r="A17" s="77" t="s">
        <v>116</v>
      </c>
      <c r="B17" s="251" t="s">
        <v>17</v>
      </c>
      <c r="C17" s="47"/>
      <c r="D17" s="47"/>
      <c r="E17" s="47"/>
      <c r="F17" s="256"/>
      <c r="G17" s="257"/>
      <c r="H17" s="258">
        <v>0</v>
      </c>
      <c r="I17" s="394" t="s">
        <v>528</v>
      </c>
    </row>
    <row r="18" spans="1:10" ht="60" x14ac:dyDescent="0.25">
      <c r="A18" s="77" t="s">
        <v>117</v>
      </c>
      <c r="B18" s="251" t="s">
        <v>18</v>
      </c>
      <c r="C18" s="47"/>
      <c r="D18" s="47"/>
      <c r="E18" s="47"/>
      <c r="F18" s="256"/>
      <c r="G18" s="257"/>
      <c r="H18" s="258">
        <v>0</v>
      </c>
      <c r="I18" s="394" t="s">
        <v>528</v>
      </c>
    </row>
    <row r="19" spans="1:10" ht="31.5" x14ac:dyDescent="0.25">
      <c r="A19" s="77" t="s">
        <v>118</v>
      </c>
      <c r="B19" s="251" t="s">
        <v>19</v>
      </c>
      <c r="C19" s="47"/>
      <c r="D19" s="47"/>
      <c r="E19" s="47"/>
      <c r="F19" s="256"/>
      <c r="G19" s="257"/>
      <c r="H19" s="258">
        <v>0</v>
      </c>
      <c r="I19" s="395" t="s">
        <v>54</v>
      </c>
    </row>
    <row r="20" spans="1:10" ht="15.75" x14ac:dyDescent="0.25">
      <c r="A20" s="78" t="s">
        <v>119</v>
      </c>
      <c r="B20" s="143" t="s">
        <v>20</v>
      </c>
      <c r="C20" s="127"/>
      <c r="D20" s="127"/>
      <c r="E20" s="127"/>
      <c r="F20" s="227"/>
      <c r="G20" s="228"/>
      <c r="H20" s="261"/>
      <c r="I20" s="393"/>
    </row>
    <row r="21" spans="1:10" ht="15.75" x14ac:dyDescent="0.25">
      <c r="A21" s="204"/>
      <c r="B21" s="278" t="s">
        <v>492</v>
      </c>
      <c r="C21" s="223"/>
      <c r="D21" s="223"/>
      <c r="E21" s="223"/>
      <c r="F21" s="263"/>
      <c r="G21" s="264"/>
      <c r="H21" s="322">
        <f>H22+H23+H31+H38</f>
        <v>3375.9834270512824</v>
      </c>
      <c r="I21" s="396" t="s">
        <v>495</v>
      </c>
    </row>
    <row r="22" spans="1:10" ht="15.75" x14ac:dyDescent="0.25">
      <c r="A22" s="77" t="s">
        <v>120</v>
      </c>
      <c r="B22" s="251" t="s">
        <v>21</v>
      </c>
      <c r="C22" s="47"/>
      <c r="D22" s="47"/>
      <c r="E22" s="47"/>
      <c r="F22" s="256"/>
      <c r="G22" s="257"/>
      <c r="H22" s="258">
        <v>0</v>
      </c>
      <c r="I22" s="395" t="s">
        <v>54</v>
      </c>
      <c r="J22" s="25"/>
    </row>
    <row r="23" spans="1:10" ht="15.75" x14ac:dyDescent="0.25">
      <c r="A23" s="77" t="s">
        <v>121</v>
      </c>
      <c r="B23" s="251" t="s">
        <v>22</v>
      </c>
      <c r="C23" s="47" t="s">
        <v>300</v>
      </c>
      <c r="D23" s="47"/>
      <c r="E23" s="47"/>
      <c r="F23" s="256"/>
      <c r="G23" s="257"/>
      <c r="H23" s="257">
        <f>SUM(H24:H30)</f>
        <v>2868.2574935897442</v>
      </c>
      <c r="I23" s="392" t="s">
        <v>238</v>
      </c>
    </row>
    <row r="24" spans="1:10" ht="15.75" x14ac:dyDescent="0.25">
      <c r="A24" s="79" t="s">
        <v>89</v>
      </c>
      <c r="B24" s="48" t="s">
        <v>239</v>
      </c>
      <c r="C24" s="127" t="s">
        <v>200</v>
      </c>
      <c r="D24" s="127">
        <v>12</v>
      </c>
      <c r="E24" s="127">
        <v>1.6</v>
      </c>
      <c r="F24" s="227">
        <f>VLOOKUP(DUNGCU[[#This Row],[Danh mục dụng cụ]],Table1[[TÊN VẬT TƯ]:[ĐƠN GIÁ
 (Chưa VAT)]],3,0)</f>
        <v>135000</v>
      </c>
      <c r="G24" s="228">
        <f t="shared" ref="G24:G30" si="2">F24/D24/26</f>
        <v>432.69230769230768</v>
      </c>
      <c r="H24" s="228">
        <f t="shared" ref="H24:H30" si="3">G24*E24</f>
        <v>692.30769230769238</v>
      </c>
      <c r="I24" s="392"/>
    </row>
    <row r="25" spans="1:10" ht="15.75" x14ac:dyDescent="0.25">
      <c r="A25" s="79" t="s">
        <v>89</v>
      </c>
      <c r="B25" s="225" t="s">
        <v>198</v>
      </c>
      <c r="C25" s="127" t="s">
        <v>107</v>
      </c>
      <c r="D25" s="127">
        <v>60</v>
      </c>
      <c r="E25" s="127">
        <v>0.27200000000000002</v>
      </c>
      <c r="F25" s="227">
        <f>VLOOKUP(DUNGCU[[#This Row],[Danh mục dụng cụ]],Table1[[TÊN VẬT TƯ]:[ĐƠN GIÁ
 (Chưa VAT)]],3,0)</f>
        <v>2454545</v>
      </c>
      <c r="G25" s="228">
        <f t="shared" si="2"/>
        <v>1573.4262820512822</v>
      </c>
      <c r="H25" s="228">
        <f t="shared" si="3"/>
        <v>427.97194871794881</v>
      </c>
      <c r="I25" s="392"/>
    </row>
    <row r="26" spans="1:10" ht="15.75" x14ac:dyDescent="0.25">
      <c r="A26" s="79" t="s">
        <v>89</v>
      </c>
      <c r="B26" s="48" t="s">
        <v>263</v>
      </c>
      <c r="C26" s="127" t="s">
        <v>107</v>
      </c>
      <c r="D26" s="127">
        <v>60</v>
      </c>
      <c r="E26" s="127">
        <v>0.27200000000000002</v>
      </c>
      <c r="F26" s="227">
        <f>VLOOKUP(DUNGCU[[#This Row],[Danh mục dụng cụ]],Table1[[TÊN VẬT TƯ]:[ĐƠN GIÁ
 (Chưa VAT)]],3,0)</f>
        <v>275000</v>
      </c>
      <c r="G26" s="228">
        <f t="shared" si="2"/>
        <v>176.28205128205127</v>
      </c>
      <c r="H26" s="228">
        <f t="shared" si="3"/>
        <v>47.948717948717949</v>
      </c>
      <c r="I26" s="392"/>
    </row>
    <row r="27" spans="1:10" ht="15.75" x14ac:dyDescent="0.25">
      <c r="A27" s="79" t="s">
        <v>89</v>
      </c>
      <c r="B27" s="48" t="s">
        <v>199</v>
      </c>
      <c r="C27" s="127" t="s">
        <v>200</v>
      </c>
      <c r="D27" s="127">
        <v>36</v>
      </c>
      <c r="E27" s="127">
        <v>1.6</v>
      </c>
      <c r="F27" s="227">
        <f>VLOOKUP(DUNGCU[[#This Row],[Danh mục dụng cụ]],Table1[[TÊN VẬT TƯ]:[ĐƠN GIÁ
 (Chưa VAT)]],3,0)</f>
        <v>105000</v>
      </c>
      <c r="G27" s="228">
        <f t="shared" si="2"/>
        <v>112.17948717948717</v>
      </c>
      <c r="H27" s="228">
        <f t="shared" si="3"/>
        <v>179.48717948717947</v>
      </c>
      <c r="I27" s="392"/>
    </row>
    <row r="28" spans="1:10" ht="15.75" x14ac:dyDescent="0.25">
      <c r="A28" s="79" t="s">
        <v>89</v>
      </c>
      <c r="B28" s="48" t="s">
        <v>201</v>
      </c>
      <c r="C28" s="127" t="s">
        <v>107</v>
      </c>
      <c r="D28" s="127">
        <v>96</v>
      </c>
      <c r="E28" s="127">
        <v>1.6</v>
      </c>
      <c r="F28" s="227">
        <f>VLOOKUP(DUNGCU[[#This Row],[Danh mục dụng cụ]],Table1[[TÊN VẬT TƯ]:[ĐƠN GIÁ
 (Chưa VAT)]],3,0)</f>
        <v>690000</v>
      </c>
      <c r="G28" s="228">
        <f t="shared" si="2"/>
        <v>276.44230769230768</v>
      </c>
      <c r="H28" s="228">
        <f t="shared" si="3"/>
        <v>442.30769230769232</v>
      </c>
      <c r="I28" s="392"/>
    </row>
    <row r="29" spans="1:10" ht="15.75" x14ac:dyDescent="0.25">
      <c r="A29" s="79" t="s">
        <v>89</v>
      </c>
      <c r="B29" s="48" t="s">
        <v>202</v>
      </c>
      <c r="C29" s="127" t="s">
        <v>107</v>
      </c>
      <c r="D29" s="127">
        <v>96</v>
      </c>
      <c r="E29" s="127">
        <v>1.6</v>
      </c>
      <c r="F29" s="227">
        <f>VLOOKUP(DUNGCU[[#This Row],[Danh mục dụng cụ]],Table1[[TÊN VẬT TƯ]:[ĐƠN GIÁ
 (Chưa VAT)]],3,0)</f>
        <v>1665000</v>
      </c>
      <c r="G29" s="228">
        <f t="shared" si="2"/>
        <v>667.06730769230774</v>
      </c>
      <c r="H29" s="228">
        <f t="shared" si="3"/>
        <v>1067.3076923076924</v>
      </c>
      <c r="I29" s="392"/>
    </row>
    <row r="30" spans="1:10" ht="15.75" x14ac:dyDescent="0.25">
      <c r="A30" s="79" t="s">
        <v>89</v>
      </c>
      <c r="B30" s="48" t="s">
        <v>204</v>
      </c>
      <c r="C30" s="127" t="s">
        <v>107</v>
      </c>
      <c r="D30" s="127">
        <v>96</v>
      </c>
      <c r="E30" s="127">
        <v>0.04</v>
      </c>
      <c r="F30" s="227">
        <f>VLOOKUP(DUNGCU[[#This Row],[Danh mục dụng cụ]],Table1[[TÊN VẬT TƯ]:[ĐƠN GIÁ
 (Chưa VAT)]],3,0)</f>
        <v>681818</v>
      </c>
      <c r="G30" s="228">
        <f t="shared" si="2"/>
        <v>273.16426282051282</v>
      </c>
      <c r="H30" s="228">
        <f t="shared" si="3"/>
        <v>10.926570512820513</v>
      </c>
      <c r="I30" s="392"/>
      <c r="J30" s="25"/>
    </row>
    <row r="31" spans="1:10" ht="15.75" x14ac:dyDescent="0.25">
      <c r="A31" s="77" t="s">
        <v>122</v>
      </c>
      <c r="B31" s="251" t="s">
        <v>23</v>
      </c>
      <c r="C31" s="47" t="s">
        <v>550</v>
      </c>
      <c r="D31" s="47"/>
      <c r="E31" s="47"/>
      <c r="F31" s="256"/>
      <c r="G31" s="257"/>
      <c r="H31" s="257">
        <f>SUM(H32:H37)</f>
        <v>35.716636538461536</v>
      </c>
      <c r="I31" s="392" t="s">
        <v>238</v>
      </c>
    </row>
    <row r="32" spans="1:10" ht="15.75" x14ac:dyDescent="0.25">
      <c r="A32" s="79" t="s">
        <v>89</v>
      </c>
      <c r="B32" s="48" t="s">
        <v>239</v>
      </c>
      <c r="C32" s="127" t="s">
        <v>200</v>
      </c>
      <c r="D32" s="127">
        <v>12</v>
      </c>
      <c r="E32" s="127">
        <v>0.02</v>
      </c>
      <c r="F32" s="227">
        <f>VLOOKUP(DUNGCU[[#This Row],[Danh mục dụng cụ]],Table1[[TÊN VẬT TƯ]:[ĐƠN GIÁ
 (Chưa VAT)]],3,0)</f>
        <v>135000</v>
      </c>
      <c r="G32" s="228">
        <f t="shared" ref="G32:G37" si="4">F32/D32/26</f>
        <v>432.69230769230768</v>
      </c>
      <c r="H32" s="228">
        <f t="shared" ref="H32:H37" si="5">G32*E32</f>
        <v>8.6538461538461533</v>
      </c>
      <c r="I32" s="393"/>
    </row>
    <row r="33" spans="1:10" ht="15.75" x14ac:dyDescent="0.25">
      <c r="A33" s="79" t="s">
        <v>89</v>
      </c>
      <c r="B33" s="48" t="s">
        <v>198</v>
      </c>
      <c r="C33" s="127" t="s">
        <v>107</v>
      </c>
      <c r="D33" s="127">
        <v>60</v>
      </c>
      <c r="E33" s="127">
        <v>3.3999999999999998E-3</v>
      </c>
      <c r="F33" s="227">
        <f>VLOOKUP(DUNGCU[[#This Row],[Danh mục dụng cụ]],Table1[[TÊN VẬT TƯ]:[ĐƠN GIÁ
 (Chưa VAT)]],3,0)</f>
        <v>2454545</v>
      </c>
      <c r="G33" s="228">
        <f t="shared" si="4"/>
        <v>1573.4262820512822</v>
      </c>
      <c r="H33" s="228">
        <f t="shared" si="5"/>
        <v>5.349649358974359</v>
      </c>
      <c r="I33" s="393"/>
    </row>
    <row r="34" spans="1:10" ht="15.75" x14ac:dyDescent="0.25">
      <c r="A34" s="79" t="s">
        <v>89</v>
      </c>
      <c r="B34" s="48" t="s">
        <v>263</v>
      </c>
      <c r="C34" s="127" t="s">
        <v>107</v>
      </c>
      <c r="D34" s="127">
        <v>60</v>
      </c>
      <c r="E34" s="127">
        <v>3.3999999999999998E-3</v>
      </c>
      <c r="F34" s="227">
        <f>VLOOKUP(DUNGCU[[#This Row],[Danh mục dụng cụ]],Table1[[TÊN VẬT TƯ]:[ĐƠN GIÁ
 (Chưa VAT)]],3,0)</f>
        <v>275000</v>
      </c>
      <c r="G34" s="228">
        <f t="shared" si="4"/>
        <v>176.28205128205127</v>
      </c>
      <c r="H34" s="228">
        <f t="shared" si="5"/>
        <v>0.59935897435897434</v>
      </c>
      <c r="I34" s="393"/>
    </row>
    <row r="35" spans="1:10" ht="15.75" x14ac:dyDescent="0.25">
      <c r="A35" s="79" t="s">
        <v>89</v>
      </c>
      <c r="B35" s="48" t="s">
        <v>199</v>
      </c>
      <c r="C35" s="127" t="s">
        <v>200</v>
      </c>
      <c r="D35" s="127">
        <v>36</v>
      </c>
      <c r="E35" s="127">
        <v>0.02</v>
      </c>
      <c r="F35" s="227">
        <f>VLOOKUP(DUNGCU[[#This Row],[Danh mục dụng cụ]],Table1[[TÊN VẬT TƯ]:[ĐƠN GIÁ
 (Chưa VAT)]],3,0)</f>
        <v>105000</v>
      </c>
      <c r="G35" s="228">
        <f t="shared" si="4"/>
        <v>112.17948717948717</v>
      </c>
      <c r="H35" s="228">
        <f t="shared" si="5"/>
        <v>2.2435897435897436</v>
      </c>
      <c r="I35" s="393"/>
    </row>
    <row r="36" spans="1:10" ht="15.75" x14ac:dyDescent="0.25">
      <c r="A36" s="79" t="s">
        <v>89</v>
      </c>
      <c r="B36" s="48" t="s">
        <v>201</v>
      </c>
      <c r="C36" s="127" t="s">
        <v>107</v>
      </c>
      <c r="D36" s="127">
        <v>96</v>
      </c>
      <c r="E36" s="127">
        <v>0.02</v>
      </c>
      <c r="F36" s="227">
        <f>VLOOKUP(DUNGCU[[#This Row],[Danh mục dụng cụ]],Table1[[TÊN VẬT TƯ]:[ĐƠN GIÁ
 (Chưa VAT)]],3,0)</f>
        <v>690000</v>
      </c>
      <c r="G36" s="228">
        <f t="shared" si="4"/>
        <v>276.44230769230768</v>
      </c>
      <c r="H36" s="228">
        <f t="shared" si="5"/>
        <v>5.5288461538461533</v>
      </c>
      <c r="I36" s="393"/>
    </row>
    <row r="37" spans="1:10" ht="15.75" x14ac:dyDescent="0.25">
      <c r="A37" s="79" t="s">
        <v>89</v>
      </c>
      <c r="B37" s="48" t="s">
        <v>202</v>
      </c>
      <c r="C37" s="127" t="s">
        <v>107</v>
      </c>
      <c r="D37" s="127">
        <v>96</v>
      </c>
      <c r="E37" s="127">
        <v>0.02</v>
      </c>
      <c r="F37" s="227">
        <f>VLOOKUP(DUNGCU[[#This Row],[Danh mục dụng cụ]],Table1[[TÊN VẬT TƯ]:[ĐƠN GIÁ
 (Chưa VAT)]],3,0)</f>
        <v>1665000</v>
      </c>
      <c r="G37" s="228">
        <f t="shared" si="4"/>
        <v>667.06730769230774</v>
      </c>
      <c r="H37" s="228">
        <f t="shared" si="5"/>
        <v>13.341346153846155</v>
      </c>
      <c r="I37" s="393"/>
      <c r="J37" s="25"/>
    </row>
    <row r="38" spans="1:10" ht="15.75" x14ac:dyDescent="0.25">
      <c r="A38" s="77" t="s">
        <v>123</v>
      </c>
      <c r="B38" s="251" t="s">
        <v>24</v>
      </c>
      <c r="C38" s="47" t="s">
        <v>551</v>
      </c>
      <c r="D38" s="47"/>
      <c r="E38" s="47"/>
      <c r="F38" s="256"/>
      <c r="G38" s="257"/>
      <c r="H38" s="257">
        <f>SUM(H39:H44)</f>
        <v>472.00929692307693</v>
      </c>
      <c r="I38" s="392" t="s">
        <v>238</v>
      </c>
    </row>
    <row r="39" spans="1:10" ht="15.75" x14ac:dyDescent="0.25">
      <c r="A39" s="79" t="s">
        <v>89</v>
      </c>
      <c r="B39" s="48" t="s">
        <v>239</v>
      </c>
      <c r="C39" s="127" t="s">
        <v>200</v>
      </c>
      <c r="D39" s="127">
        <v>12</v>
      </c>
      <c r="E39" s="127">
        <v>0.55359999999999998</v>
      </c>
      <c r="F39" s="227">
        <f>VLOOKUP(DUNGCU[[#This Row],[Danh mục dụng cụ]],Table1[[TÊN VẬT TƯ]:[ĐƠN GIÁ
 (Chưa VAT)]],3,0)</f>
        <v>135000</v>
      </c>
      <c r="G39" s="228">
        <f t="shared" ref="G39:G44" si="6">F39/D39/26</f>
        <v>432.69230769230768</v>
      </c>
      <c r="H39" s="228">
        <f t="shared" ref="H39:H44" si="7">G39*E39</f>
        <v>239.53846153846152</v>
      </c>
      <c r="I39" s="393"/>
    </row>
    <row r="40" spans="1:10" ht="15.75" x14ac:dyDescent="0.25">
      <c r="A40" s="79" t="s">
        <v>89</v>
      </c>
      <c r="B40" s="48" t="s">
        <v>198</v>
      </c>
      <c r="C40" s="127" t="s">
        <v>107</v>
      </c>
      <c r="D40" s="127">
        <v>60</v>
      </c>
      <c r="E40" s="127">
        <v>9.2799999999999994E-2</v>
      </c>
      <c r="F40" s="227">
        <f>VLOOKUP(DUNGCU[[#This Row],[Danh mục dụng cụ]],Table1[[TÊN VẬT TƯ]:[ĐƠN GIÁ
 (Chưa VAT)]],3,0)</f>
        <v>2454545</v>
      </c>
      <c r="G40" s="228">
        <f t="shared" si="6"/>
        <v>1573.4262820512822</v>
      </c>
      <c r="H40" s="228">
        <f t="shared" si="7"/>
        <v>146.01395897435899</v>
      </c>
      <c r="I40" s="393"/>
    </row>
    <row r="41" spans="1:10" ht="15.75" x14ac:dyDescent="0.25">
      <c r="A41" s="79" t="s">
        <v>89</v>
      </c>
      <c r="B41" s="48" t="s">
        <v>263</v>
      </c>
      <c r="C41" s="127" t="s">
        <v>107</v>
      </c>
      <c r="D41" s="127">
        <v>60</v>
      </c>
      <c r="E41" s="127">
        <v>9.2799999999999994E-2</v>
      </c>
      <c r="F41" s="227">
        <f>VLOOKUP(DUNGCU[[#This Row],[Danh mục dụng cụ]],Table1[[TÊN VẬT TƯ]:[ĐƠN GIÁ
 (Chưa VAT)]],3,0)</f>
        <v>275000</v>
      </c>
      <c r="G41" s="228">
        <f t="shared" si="6"/>
        <v>176.28205128205127</v>
      </c>
      <c r="H41" s="228">
        <f t="shared" si="7"/>
        <v>16.358974358974358</v>
      </c>
      <c r="I41" s="393"/>
    </row>
    <row r="42" spans="1:10" ht="15.75" x14ac:dyDescent="0.25">
      <c r="A42" s="79" t="s">
        <v>89</v>
      </c>
      <c r="B42" s="48" t="s">
        <v>199</v>
      </c>
      <c r="C42" s="127" t="s">
        <v>200</v>
      </c>
      <c r="D42" s="127">
        <v>36</v>
      </c>
      <c r="E42" s="127">
        <v>0.55359999999999998</v>
      </c>
      <c r="F42" s="227">
        <f>VLOOKUP(DUNGCU[[#This Row],[Danh mục dụng cụ]],Table1[[TÊN VẬT TƯ]:[ĐƠN GIÁ
 (Chưa VAT)]],3,0)</f>
        <v>105000</v>
      </c>
      <c r="G42" s="228">
        <f t="shared" si="6"/>
        <v>112.17948717948717</v>
      </c>
      <c r="H42" s="228">
        <f t="shared" si="7"/>
        <v>62.102564102564095</v>
      </c>
      <c r="I42" s="393"/>
    </row>
    <row r="43" spans="1:10" ht="15.75" x14ac:dyDescent="0.25">
      <c r="A43" s="79" t="s">
        <v>89</v>
      </c>
      <c r="B43" s="48" t="s">
        <v>241</v>
      </c>
      <c r="C43" s="127" t="s">
        <v>107</v>
      </c>
      <c r="D43" s="127">
        <v>60</v>
      </c>
      <c r="E43" s="127">
        <v>4.1999999999999997E-3</v>
      </c>
      <c r="F43" s="227">
        <f>VLOOKUP(DUNGCU[[#This Row],[Danh mục dụng cụ]],Table1[[TÊN VẬT TƯ]:[ĐƠN GIÁ
 (Chưa VAT)]],3,0)</f>
        <v>2363636</v>
      </c>
      <c r="G43" s="228">
        <f t="shared" si="6"/>
        <v>1515.1512820512821</v>
      </c>
      <c r="H43" s="228">
        <f t="shared" si="7"/>
        <v>6.3636353846153844</v>
      </c>
      <c r="I43" s="393"/>
    </row>
    <row r="44" spans="1:10" ht="15.75" x14ac:dyDescent="0.25">
      <c r="A44" s="79" t="s">
        <v>89</v>
      </c>
      <c r="B44" s="48" t="s">
        <v>242</v>
      </c>
      <c r="C44" s="127" t="s">
        <v>107</v>
      </c>
      <c r="D44" s="127">
        <v>60</v>
      </c>
      <c r="E44" s="127">
        <v>4.0000000000000001E-3</v>
      </c>
      <c r="F44" s="227">
        <f>VLOOKUP(DUNGCU[[#This Row],[Danh mục dụng cụ]],Table1[[TÊN VẬT TƯ]:[ĐƠN GIÁ
 (Chưa VAT)]],3,0)</f>
        <v>636364</v>
      </c>
      <c r="G44" s="228">
        <f t="shared" si="6"/>
        <v>407.92564102564108</v>
      </c>
      <c r="H44" s="228">
        <f t="shared" si="7"/>
        <v>1.6317025641025644</v>
      </c>
      <c r="I44" s="393"/>
    </row>
    <row r="45" spans="1:10" ht="15.75" x14ac:dyDescent="0.25">
      <c r="A45" s="204"/>
      <c r="B45" s="278" t="s">
        <v>493</v>
      </c>
      <c r="C45" s="223"/>
      <c r="D45" s="223"/>
      <c r="E45" s="223"/>
      <c r="F45" s="263"/>
      <c r="G45" s="264"/>
      <c r="H45" s="322">
        <f>SUM(H46:H49)</f>
        <v>2025.5900562307695</v>
      </c>
      <c r="I45" s="396" t="s">
        <v>496</v>
      </c>
    </row>
    <row r="46" spans="1:10" ht="15.75" x14ac:dyDescent="0.25">
      <c r="A46" s="77" t="s">
        <v>120</v>
      </c>
      <c r="B46" s="251" t="s">
        <v>21</v>
      </c>
      <c r="C46" s="47"/>
      <c r="D46" s="47"/>
      <c r="E46" s="47"/>
      <c r="F46" s="256"/>
      <c r="G46" s="257"/>
      <c r="H46" s="226">
        <f>VLOOKUP(DUNGCU[[#This Row],[TT]],$A$22:$H$44,8,0)*0.6</f>
        <v>0</v>
      </c>
      <c r="I46" s="395" t="s">
        <v>54</v>
      </c>
      <c r="J46" s="26"/>
    </row>
    <row r="47" spans="1:10" ht="15.75" x14ac:dyDescent="0.25">
      <c r="A47" s="77" t="s">
        <v>121</v>
      </c>
      <c r="B47" s="251" t="s">
        <v>22</v>
      </c>
      <c r="C47" s="47" t="s">
        <v>300</v>
      </c>
      <c r="D47" s="47"/>
      <c r="E47" s="47"/>
      <c r="F47" s="256"/>
      <c r="G47" s="257"/>
      <c r="H47" s="226">
        <f>VLOOKUP(DUNGCU[[#This Row],[TT]],$A$22:$H$44,8,0)*0.6</f>
        <v>1720.9544961538465</v>
      </c>
      <c r="I47" s="392"/>
    </row>
    <row r="48" spans="1:10" ht="15.75" x14ac:dyDescent="0.25">
      <c r="A48" s="77" t="s">
        <v>122</v>
      </c>
      <c r="B48" s="251" t="s">
        <v>23</v>
      </c>
      <c r="C48" s="47" t="s">
        <v>550</v>
      </c>
      <c r="D48" s="47"/>
      <c r="E48" s="47"/>
      <c r="F48" s="256"/>
      <c r="G48" s="257"/>
      <c r="H48" s="226">
        <f>VLOOKUP(DUNGCU[[#This Row],[TT]],$A$22:$H$44,8,0)*0.6</f>
        <v>21.42998192307692</v>
      </c>
      <c r="I48" s="392"/>
    </row>
    <row r="49" spans="1:10" ht="15.75" x14ac:dyDescent="0.25">
      <c r="A49" s="77" t="s">
        <v>123</v>
      </c>
      <c r="B49" s="251" t="s">
        <v>24</v>
      </c>
      <c r="C49" s="47" t="s">
        <v>551</v>
      </c>
      <c r="D49" s="47"/>
      <c r="E49" s="47"/>
      <c r="F49" s="256"/>
      <c r="G49" s="257"/>
      <c r="H49" s="226">
        <f>VLOOKUP(DUNGCU[[#This Row],[TT]],$A$22:$H$44,8,0)*0.6</f>
        <v>283.20557815384615</v>
      </c>
      <c r="I49" s="392" t="s">
        <v>238</v>
      </c>
    </row>
    <row r="50" spans="1:10" ht="15.75" x14ac:dyDescent="0.25">
      <c r="A50" s="204"/>
      <c r="B50" s="278" t="s">
        <v>494</v>
      </c>
      <c r="C50" s="223"/>
      <c r="D50" s="223"/>
      <c r="E50" s="223"/>
      <c r="F50" s="263"/>
      <c r="G50" s="264"/>
      <c r="H50" s="322">
        <f>SUM(H51:H54)</f>
        <v>675.19668541025646</v>
      </c>
      <c r="I50" s="396" t="s">
        <v>497</v>
      </c>
    </row>
    <row r="51" spans="1:10" ht="15.75" x14ac:dyDescent="0.25">
      <c r="A51" s="77" t="s">
        <v>120</v>
      </c>
      <c r="B51" s="251" t="s">
        <v>21</v>
      </c>
      <c r="C51" s="47"/>
      <c r="D51" s="47"/>
      <c r="E51" s="47"/>
      <c r="F51" s="256"/>
      <c r="G51" s="257"/>
      <c r="H51" s="226">
        <f>VLOOKUP(DUNGCU[[#This Row],[TT]],$A$22:$H$44,8,0)*0.2</f>
        <v>0</v>
      </c>
      <c r="I51" s="395" t="s">
        <v>54</v>
      </c>
    </row>
    <row r="52" spans="1:10" ht="15.75" x14ac:dyDescent="0.25">
      <c r="A52" s="77" t="s">
        <v>121</v>
      </c>
      <c r="B52" s="251" t="s">
        <v>22</v>
      </c>
      <c r="C52" s="47" t="s">
        <v>300</v>
      </c>
      <c r="D52" s="47"/>
      <c r="E52" s="47"/>
      <c r="F52" s="256"/>
      <c r="G52" s="257"/>
      <c r="H52" s="226">
        <f>VLOOKUP(DUNGCU[[#This Row],[TT]],$A$22:$H$44,8,0)*0.2</f>
        <v>573.65149871794881</v>
      </c>
      <c r="I52" s="392"/>
    </row>
    <row r="53" spans="1:10" ht="15.75" x14ac:dyDescent="0.25">
      <c r="A53" s="77" t="s">
        <v>122</v>
      </c>
      <c r="B53" s="251" t="s">
        <v>23</v>
      </c>
      <c r="C53" s="47" t="s">
        <v>550</v>
      </c>
      <c r="D53" s="47"/>
      <c r="E53" s="47"/>
      <c r="F53" s="256"/>
      <c r="G53" s="257"/>
      <c r="H53" s="226">
        <f>VLOOKUP(DUNGCU[[#This Row],[TT]],$A$22:$H$44,8,0)*0.2</f>
        <v>7.1433273076923074</v>
      </c>
      <c r="I53" s="392"/>
    </row>
    <row r="54" spans="1:10" ht="15.75" x14ac:dyDescent="0.25">
      <c r="A54" s="77" t="s">
        <v>123</v>
      </c>
      <c r="B54" s="251" t="s">
        <v>24</v>
      </c>
      <c r="C54" s="47" t="s">
        <v>551</v>
      </c>
      <c r="D54" s="47"/>
      <c r="E54" s="47"/>
      <c r="F54" s="256"/>
      <c r="G54" s="257"/>
      <c r="H54" s="226">
        <f>VLOOKUP(DUNGCU[[#This Row],[TT]],$A$22:$H$44,8,0)*0.2</f>
        <v>94.401859384615392</v>
      </c>
      <c r="I54" s="392"/>
      <c r="J54" s="26"/>
    </row>
    <row r="55" spans="1:10" ht="31.5" x14ac:dyDescent="0.25">
      <c r="A55" s="78" t="s">
        <v>26</v>
      </c>
      <c r="B55" s="143" t="s">
        <v>27</v>
      </c>
      <c r="C55" s="127"/>
      <c r="D55" s="127"/>
      <c r="E55" s="127"/>
      <c r="F55" s="227"/>
      <c r="G55" s="228"/>
      <c r="H55" s="228"/>
      <c r="I55" s="393"/>
    </row>
    <row r="56" spans="1:10" ht="15.75" x14ac:dyDescent="0.25">
      <c r="A56" s="78" t="s">
        <v>124</v>
      </c>
      <c r="B56" s="143" t="s">
        <v>28</v>
      </c>
      <c r="C56" s="127"/>
      <c r="D56" s="127"/>
      <c r="E56" s="127"/>
      <c r="F56" s="227"/>
      <c r="G56" s="228"/>
      <c r="H56" s="228"/>
      <c r="I56" s="393"/>
    </row>
    <row r="57" spans="1:10" ht="15.75" x14ac:dyDescent="0.25">
      <c r="A57" s="204"/>
      <c r="B57" s="278" t="s">
        <v>498</v>
      </c>
      <c r="C57" s="223"/>
      <c r="D57" s="223"/>
      <c r="E57" s="223"/>
      <c r="F57" s="263"/>
      <c r="G57" s="264"/>
      <c r="H57" s="326">
        <f>H58+H65+H73+H80+H87+H94+H101+H108+H115+H122+H131+H138+H146</f>
        <v>43769.732350512822</v>
      </c>
      <c r="I57" s="397"/>
    </row>
    <row r="58" spans="1:10" ht="31.5" x14ac:dyDescent="0.25">
      <c r="A58" s="77" t="s">
        <v>125</v>
      </c>
      <c r="B58" s="251" t="s">
        <v>29</v>
      </c>
      <c r="C58" s="47" t="s">
        <v>248</v>
      </c>
      <c r="D58" s="47"/>
      <c r="E58" s="47"/>
      <c r="F58" s="256"/>
      <c r="G58" s="257"/>
      <c r="H58" s="257">
        <f>SUM(H59:H64)</f>
        <v>986.34088205128205</v>
      </c>
      <c r="I58" s="392" t="s">
        <v>252</v>
      </c>
    </row>
    <row r="59" spans="1:10" ht="15.75" x14ac:dyDescent="0.25">
      <c r="A59" s="79" t="s">
        <v>89</v>
      </c>
      <c r="B59" s="48" t="s">
        <v>239</v>
      </c>
      <c r="C59" s="127" t="s">
        <v>200</v>
      </c>
      <c r="D59" s="127">
        <v>12</v>
      </c>
      <c r="E59" s="127">
        <v>0.55359999999999998</v>
      </c>
      <c r="F59" s="227">
        <f>VLOOKUP(DUNGCU[[#This Row],[Danh mục dụng cụ]],Table1[[TÊN VẬT TƯ]:[ĐƠN GIÁ
 (Chưa VAT)]],3,0)</f>
        <v>135000</v>
      </c>
      <c r="G59" s="228">
        <f t="shared" ref="G59:G64" si="8">F59/D59/26</f>
        <v>432.69230769230768</v>
      </c>
      <c r="H59" s="228">
        <f t="shared" ref="H59:H64" si="9">G59*E59</f>
        <v>239.53846153846152</v>
      </c>
      <c r="I59" s="393"/>
    </row>
    <row r="60" spans="1:10" ht="15.75" x14ac:dyDescent="0.25">
      <c r="A60" s="79" t="s">
        <v>89</v>
      </c>
      <c r="B60" s="48" t="s">
        <v>198</v>
      </c>
      <c r="C60" s="127" t="s">
        <v>107</v>
      </c>
      <c r="D60" s="127">
        <v>60</v>
      </c>
      <c r="E60" s="127">
        <v>9.2799999999999994E-2</v>
      </c>
      <c r="F60" s="227">
        <f>VLOOKUP(DUNGCU[[#This Row],[Danh mục dụng cụ]],Table1[[TÊN VẬT TƯ]:[ĐƠN GIÁ
 (Chưa VAT)]],3,0)</f>
        <v>2454545</v>
      </c>
      <c r="G60" s="228">
        <f t="shared" si="8"/>
        <v>1573.4262820512822</v>
      </c>
      <c r="H60" s="228">
        <f t="shared" si="9"/>
        <v>146.01395897435899</v>
      </c>
      <c r="I60" s="393"/>
    </row>
    <row r="61" spans="1:10" ht="15.75" x14ac:dyDescent="0.25">
      <c r="A61" s="79" t="s">
        <v>89</v>
      </c>
      <c r="B61" s="48" t="s">
        <v>263</v>
      </c>
      <c r="C61" s="127" t="s">
        <v>107</v>
      </c>
      <c r="D61" s="127">
        <v>60</v>
      </c>
      <c r="E61" s="127">
        <v>9.2799999999999994E-2</v>
      </c>
      <c r="F61" s="227">
        <f>VLOOKUP(DUNGCU[[#This Row],[Danh mục dụng cụ]],Table1[[TÊN VẬT TƯ]:[ĐƠN GIÁ
 (Chưa VAT)]],3,0)</f>
        <v>275000</v>
      </c>
      <c r="G61" s="228">
        <f t="shared" si="8"/>
        <v>176.28205128205127</v>
      </c>
      <c r="H61" s="228">
        <f t="shared" si="9"/>
        <v>16.358974358974358</v>
      </c>
      <c r="I61" s="393"/>
      <c r="J61" s="26"/>
    </row>
    <row r="62" spans="1:10" ht="15.75" x14ac:dyDescent="0.25">
      <c r="A62" s="79" t="s">
        <v>89</v>
      </c>
      <c r="B62" s="48" t="s">
        <v>199</v>
      </c>
      <c r="C62" s="127" t="s">
        <v>200</v>
      </c>
      <c r="D62" s="127">
        <v>36</v>
      </c>
      <c r="E62" s="127">
        <v>0.55359999999999998</v>
      </c>
      <c r="F62" s="227">
        <f>VLOOKUP(DUNGCU[[#This Row],[Danh mục dụng cụ]],Table1[[TÊN VẬT TƯ]:[ĐƠN GIÁ
 (Chưa VAT)]],3,0)</f>
        <v>105000</v>
      </c>
      <c r="G62" s="228">
        <f t="shared" si="8"/>
        <v>112.17948717948717</v>
      </c>
      <c r="H62" s="228">
        <f t="shared" si="9"/>
        <v>62.102564102564095</v>
      </c>
      <c r="I62" s="393"/>
    </row>
    <row r="63" spans="1:10" ht="15.75" x14ac:dyDescent="0.25">
      <c r="A63" s="79" t="s">
        <v>89</v>
      </c>
      <c r="B63" s="48" t="s">
        <v>201</v>
      </c>
      <c r="C63" s="127" t="s">
        <v>107</v>
      </c>
      <c r="D63" s="127">
        <v>96</v>
      </c>
      <c r="E63" s="127">
        <v>0.55359999999999998</v>
      </c>
      <c r="F63" s="227">
        <f>VLOOKUP(DUNGCU[[#This Row],[Danh mục dụng cụ]],Table1[[TÊN VẬT TƯ]:[ĐƠN GIÁ
 (Chưa VAT)]],3,0)</f>
        <v>690000</v>
      </c>
      <c r="G63" s="228">
        <f t="shared" si="8"/>
        <v>276.44230769230768</v>
      </c>
      <c r="H63" s="228">
        <f t="shared" si="9"/>
        <v>153.03846153846152</v>
      </c>
      <c r="I63" s="393"/>
    </row>
    <row r="64" spans="1:10" ht="15.75" x14ac:dyDescent="0.25">
      <c r="A64" s="79" t="s">
        <v>89</v>
      </c>
      <c r="B64" s="48" t="s">
        <v>202</v>
      </c>
      <c r="C64" s="127" t="s">
        <v>107</v>
      </c>
      <c r="D64" s="127">
        <v>96</v>
      </c>
      <c r="E64" s="127">
        <v>0.55359999999999998</v>
      </c>
      <c r="F64" s="227">
        <f>VLOOKUP(DUNGCU[[#This Row],[Danh mục dụng cụ]],Table1[[TÊN VẬT TƯ]:[ĐƠN GIÁ
 (Chưa VAT)]],3,0)</f>
        <v>1665000</v>
      </c>
      <c r="G64" s="228">
        <f t="shared" si="8"/>
        <v>667.06730769230774</v>
      </c>
      <c r="H64" s="228">
        <f t="shared" si="9"/>
        <v>369.28846153846155</v>
      </c>
      <c r="I64" s="393"/>
    </row>
    <row r="65" spans="1:10" ht="31.5" x14ac:dyDescent="0.25">
      <c r="A65" s="77" t="s">
        <v>126</v>
      </c>
      <c r="B65" s="251" t="s">
        <v>30</v>
      </c>
      <c r="C65" s="47" t="s">
        <v>248</v>
      </c>
      <c r="D65" s="47"/>
      <c r="E65" s="47"/>
      <c r="F65" s="256"/>
      <c r="G65" s="257"/>
      <c r="H65" s="257">
        <f>SUM(H66:H72)</f>
        <v>576.36378410256407</v>
      </c>
      <c r="I65" s="392" t="s">
        <v>252</v>
      </c>
    </row>
    <row r="66" spans="1:10" ht="15.75" x14ac:dyDescent="0.25">
      <c r="A66" s="79" t="s">
        <v>89</v>
      </c>
      <c r="B66" s="48" t="s">
        <v>239</v>
      </c>
      <c r="C66" s="127" t="s">
        <v>200</v>
      </c>
      <c r="D66" s="127">
        <v>12</v>
      </c>
      <c r="E66" s="127">
        <v>0.55359999999999998</v>
      </c>
      <c r="F66" s="227">
        <f>VLOOKUP(DUNGCU[[#This Row],[Danh mục dụng cụ]],Table1[[TÊN VẬT TƯ]:[ĐƠN GIÁ
 (Chưa VAT)]],3,0)</f>
        <v>135000</v>
      </c>
      <c r="G66" s="228">
        <f t="shared" ref="G66:G72" si="10">F66/D66/26</f>
        <v>432.69230769230768</v>
      </c>
      <c r="H66" s="228">
        <f t="shared" ref="H66:H72" si="11">G66*E66</f>
        <v>239.53846153846152</v>
      </c>
      <c r="I66" s="393"/>
    </row>
    <row r="67" spans="1:10" ht="15.75" x14ac:dyDescent="0.25">
      <c r="A67" s="79" t="s">
        <v>89</v>
      </c>
      <c r="B67" s="48" t="s">
        <v>198</v>
      </c>
      <c r="C67" s="127" t="s">
        <v>107</v>
      </c>
      <c r="D67" s="127">
        <v>60</v>
      </c>
      <c r="E67" s="127">
        <v>9.2799999999999994E-2</v>
      </c>
      <c r="F67" s="227">
        <f>VLOOKUP(DUNGCU[[#This Row],[Danh mục dụng cụ]],Table1[[TÊN VẬT TƯ]:[ĐƠN GIÁ
 (Chưa VAT)]],3,0)</f>
        <v>2454545</v>
      </c>
      <c r="G67" s="228">
        <f t="shared" si="10"/>
        <v>1573.4262820512822</v>
      </c>
      <c r="H67" s="228">
        <f t="shared" si="11"/>
        <v>146.01395897435899</v>
      </c>
      <c r="I67" s="393"/>
    </row>
    <row r="68" spans="1:10" ht="15.75" x14ac:dyDescent="0.25">
      <c r="A68" s="79" t="s">
        <v>89</v>
      </c>
      <c r="B68" s="48" t="s">
        <v>263</v>
      </c>
      <c r="C68" s="127" t="s">
        <v>107</v>
      </c>
      <c r="D68" s="127">
        <v>60</v>
      </c>
      <c r="E68" s="127">
        <v>9.2799999999999994E-2</v>
      </c>
      <c r="F68" s="227">
        <f>VLOOKUP(DUNGCU[[#This Row],[Danh mục dụng cụ]],Table1[[TÊN VẬT TƯ]:[ĐƠN GIÁ
 (Chưa VAT)]],3,0)</f>
        <v>275000</v>
      </c>
      <c r="G68" s="228">
        <f t="shared" si="10"/>
        <v>176.28205128205127</v>
      </c>
      <c r="H68" s="228">
        <f t="shared" si="11"/>
        <v>16.358974358974358</v>
      </c>
      <c r="I68" s="393"/>
      <c r="J68" s="26"/>
    </row>
    <row r="69" spans="1:10" ht="15.75" x14ac:dyDescent="0.25">
      <c r="A69" s="79" t="s">
        <v>89</v>
      </c>
      <c r="B69" s="48" t="s">
        <v>199</v>
      </c>
      <c r="C69" s="127" t="s">
        <v>200</v>
      </c>
      <c r="D69" s="127">
        <v>36</v>
      </c>
      <c r="E69" s="127">
        <v>0.55359999999999998</v>
      </c>
      <c r="F69" s="227">
        <f>VLOOKUP(DUNGCU[[#This Row],[Danh mục dụng cụ]],Table1[[TÊN VẬT TƯ]:[ĐƠN GIÁ
 (Chưa VAT)]],3,0)</f>
        <v>105000</v>
      </c>
      <c r="G69" s="228">
        <f t="shared" si="10"/>
        <v>112.17948717948717</v>
      </c>
      <c r="H69" s="228">
        <f t="shared" si="11"/>
        <v>62.102564102564095</v>
      </c>
      <c r="I69" s="393"/>
    </row>
    <row r="70" spans="1:10" ht="15.75" x14ac:dyDescent="0.25">
      <c r="A70" s="79" t="s">
        <v>89</v>
      </c>
      <c r="B70" s="48" t="s">
        <v>241</v>
      </c>
      <c r="C70" s="127" t="s">
        <v>107</v>
      </c>
      <c r="D70" s="127">
        <v>60</v>
      </c>
      <c r="E70" s="127">
        <v>4.1999999999999997E-3</v>
      </c>
      <c r="F70" s="227">
        <f>VLOOKUP(DUNGCU[[#This Row],[Danh mục dụng cụ]],Table1[[TÊN VẬT TƯ]:[ĐƠN GIÁ
 (Chưa VAT)]],3,0)</f>
        <v>2363636</v>
      </c>
      <c r="G70" s="228">
        <f t="shared" si="10"/>
        <v>1515.1512820512821</v>
      </c>
      <c r="H70" s="228">
        <f t="shared" si="11"/>
        <v>6.3636353846153844</v>
      </c>
      <c r="I70" s="393"/>
    </row>
    <row r="71" spans="1:10" ht="15.75" x14ac:dyDescent="0.25">
      <c r="A71" s="79" t="s">
        <v>89</v>
      </c>
      <c r="B71" s="48" t="s">
        <v>250</v>
      </c>
      <c r="C71" s="127" t="s">
        <v>107</v>
      </c>
      <c r="D71" s="127">
        <v>96</v>
      </c>
      <c r="E71" s="127">
        <v>0.1384</v>
      </c>
      <c r="F71" s="227">
        <f>VLOOKUP(DUNGCU[[#This Row],[Danh mục dụng cụ]],Table1[[TÊN VẬT TƯ]:[ĐƠN GIÁ
 (Chưa VAT)]],3,0)</f>
        <v>1882000</v>
      </c>
      <c r="G71" s="228">
        <f t="shared" si="10"/>
        <v>754.00641025641028</v>
      </c>
      <c r="H71" s="228">
        <f t="shared" si="11"/>
        <v>104.35448717948718</v>
      </c>
      <c r="I71" s="393"/>
    </row>
    <row r="72" spans="1:10" ht="15.75" x14ac:dyDescent="0.25">
      <c r="A72" s="79" t="s">
        <v>89</v>
      </c>
      <c r="B72" s="48" t="s">
        <v>242</v>
      </c>
      <c r="C72" s="127" t="s">
        <v>107</v>
      </c>
      <c r="D72" s="127">
        <v>60</v>
      </c>
      <c r="E72" s="127">
        <v>4.0000000000000001E-3</v>
      </c>
      <c r="F72" s="227">
        <f>VLOOKUP(DUNGCU[[#This Row],[Danh mục dụng cụ]],Table1[[TÊN VẬT TƯ]:[ĐƠN GIÁ
 (Chưa VAT)]],3,0)</f>
        <v>636364</v>
      </c>
      <c r="G72" s="228">
        <f t="shared" si="10"/>
        <v>407.92564102564108</v>
      </c>
      <c r="H72" s="228">
        <f t="shared" si="11"/>
        <v>1.6317025641025644</v>
      </c>
      <c r="I72" s="393"/>
    </row>
    <row r="73" spans="1:10" ht="15.75" x14ac:dyDescent="0.25">
      <c r="A73" s="77" t="s">
        <v>127</v>
      </c>
      <c r="B73" s="251" t="s">
        <v>31</v>
      </c>
      <c r="C73" s="47" t="s">
        <v>248</v>
      </c>
      <c r="D73" s="47"/>
      <c r="E73" s="47"/>
      <c r="F73" s="256"/>
      <c r="G73" s="257"/>
      <c r="H73" s="257">
        <f>SUM(H74:H79)</f>
        <v>1479.5113230769232</v>
      </c>
      <c r="I73" s="392" t="s">
        <v>252</v>
      </c>
    </row>
    <row r="74" spans="1:10" ht="15.75" x14ac:dyDescent="0.25">
      <c r="A74" s="79" t="s">
        <v>89</v>
      </c>
      <c r="B74" s="48" t="s">
        <v>239</v>
      </c>
      <c r="C74" s="127" t="s">
        <v>200</v>
      </c>
      <c r="D74" s="127">
        <v>12</v>
      </c>
      <c r="E74" s="127">
        <v>0.83040000000000003</v>
      </c>
      <c r="F74" s="227">
        <f>VLOOKUP(DUNGCU[[#This Row],[Danh mục dụng cụ]],Table1[[TÊN VẬT TƯ]:[ĐƠN GIÁ
 (Chưa VAT)]],3,0)</f>
        <v>135000</v>
      </c>
      <c r="G74" s="228">
        <f t="shared" ref="G74:G79" si="12">F74/D74/26</f>
        <v>432.69230769230768</v>
      </c>
      <c r="H74" s="228">
        <f t="shared" ref="H74:H79" si="13">G74*E74</f>
        <v>359.30769230769232</v>
      </c>
      <c r="I74" s="393"/>
    </row>
    <row r="75" spans="1:10" ht="15.75" x14ac:dyDescent="0.25">
      <c r="A75" s="79" t="s">
        <v>89</v>
      </c>
      <c r="B75" s="48" t="s">
        <v>198</v>
      </c>
      <c r="C75" s="127" t="s">
        <v>107</v>
      </c>
      <c r="D75" s="127">
        <v>60</v>
      </c>
      <c r="E75" s="127">
        <v>0.13919999999999999</v>
      </c>
      <c r="F75" s="227">
        <f>VLOOKUP(DUNGCU[[#This Row],[Danh mục dụng cụ]],Table1[[TÊN VẬT TƯ]:[ĐƠN GIÁ
 (Chưa VAT)]],3,0)</f>
        <v>2454545</v>
      </c>
      <c r="G75" s="228">
        <f t="shared" si="12"/>
        <v>1573.4262820512822</v>
      </c>
      <c r="H75" s="228">
        <f t="shared" si="13"/>
        <v>219.02093846153846</v>
      </c>
      <c r="I75" s="393"/>
      <c r="J75" s="26"/>
    </row>
    <row r="76" spans="1:10" ht="15.75" x14ac:dyDescent="0.25">
      <c r="A76" s="79" t="s">
        <v>89</v>
      </c>
      <c r="B76" s="48" t="s">
        <v>263</v>
      </c>
      <c r="C76" s="127" t="s">
        <v>107</v>
      </c>
      <c r="D76" s="127">
        <v>60</v>
      </c>
      <c r="E76" s="127">
        <v>0.13919999999999999</v>
      </c>
      <c r="F76" s="227">
        <f>VLOOKUP(DUNGCU[[#This Row],[Danh mục dụng cụ]],Table1[[TÊN VẬT TƯ]:[ĐƠN GIÁ
 (Chưa VAT)]],3,0)</f>
        <v>275000</v>
      </c>
      <c r="G76" s="228">
        <f t="shared" si="12"/>
        <v>176.28205128205127</v>
      </c>
      <c r="H76" s="228">
        <f t="shared" si="13"/>
        <v>24.538461538461537</v>
      </c>
      <c r="I76" s="393"/>
    </row>
    <row r="77" spans="1:10" ht="15.75" x14ac:dyDescent="0.25">
      <c r="A77" s="79" t="s">
        <v>89</v>
      </c>
      <c r="B77" s="48" t="s">
        <v>199</v>
      </c>
      <c r="C77" s="127" t="s">
        <v>200</v>
      </c>
      <c r="D77" s="127">
        <v>36</v>
      </c>
      <c r="E77" s="127">
        <v>0.83040000000000003</v>
      </c>
      <c r="F77" s="227">
        <f>VLOOKUP(DUNGCU[[#This Row],[Danh mục dụng cụ]],Table1[[TÊN VẬT TƯ]:[ĐƠN GIÁ
 (Chưa VAT)]],3,0)</f>
        <v>105000</v>
      </c>
      <c r="G77" s="228">
        <f t="shared" si="12"/>
        <v>112.17948717948717</v>
      </c>
      <c r="H77" s="228">
        <f t="shared" si="13"/>
        <v>93.153846153846146</v>
      </c>
      <c r="I77" s="393"/>
    </row>
    <row r="78" spans="1:10" ht="15.75" x14ac:dyDescent="0.25">
      <c r="A78" s="79" t="s">
        <v>89</v>
      </c>
      <c r="B78" s="48" t="s">
        <v>201</v>
      </c>
      <c r="C78" s="127" t="s">
        <v>107</v>
      </c>
      <c r="D78" s="127">
        <v>96</v>
      </c>
      <c r="E78" s="127">
        <v>0.83040000000000003</v>
      </c>
      <c r="F78" s="227">
        <f>VLOOKUP(DUNGCU[[#This Row],[Danh mục dụng cụ]],Table1[[TÊN VẬT TƯ]:[ĐƠN GIÁ
 (Chưa VAT)]],3,0)</f>
        <v>690000</v>
      </c>
      <c r="G78" s="228">
        <f t="shared" si="12"/>
        <v>276.44230769230768</v>
      </c>
      <c r="H78" s="228">
        <f t="shared" si="13"/>
        <v>229.55769230769229</v>
      </c>
      <c r="I78" s="393"/>
    </row>
    <row r="79" spans="1:10" ht="15.75" x14ac:dyDescent="0.25">
      <c r="A79" s="79" t="s">
        <v>89</v>
      </c>
      <c r="B79" s="48" t="s">
        <v>202</v>
      </c>
      <c r="C79" s="127" t="s">
        <v>107</v>
      </c>
      <c r="D79" s="127">
        <v>96</v>
      </c>
      <c r="E79" s="127">
        <v>0.83040000000000003</v>
      </c>
      <c r="F79" s="227">
        <f>VLOOKUP(DUNGCU[[#This Row],[Danh mục dụng cụ]],Table1[[TÊN VẬT TƯ]:[ĐƠN GIÁ
 (Chưa VAT)]],3,0)</f>
        <v>1665000</v>
      </c>
      <c r="G79" s="228">
        <f t="shared" si="12"/>
        <v>667.06730769230774</v>
      </c>
      <c r="H79" s="228">
        <f t="shared" si="13"/>
        <v>553.93269230769238</v>
      </c>
      <c r="I79" s="393"/>
    </row>
    <row r="80" spans="1:10" ht="15.75" x14ac:dyDescent="0.25">
      <c r="A80" s="77" t="s">
        <v>128</v>
      </c>
      <c r="B80" s="251" t="s">
        <v>32</v>
      </c>
      <c r="C80" s="47" t="s">
        <v>248</v>
      </c>
      <c r="D80" s="47"/>
      <c r="E80" s="47"/>
      <c r="F80" s="256"/>
      <c r="G80" s="257"/>
      <c r="H80" s="257">
        <f>SUM(H81:H86)</f>
        <v>8877.0679384615396</v>
      </c>
      <c r="I80" s="392" t="s">
        <v>252</v>
      </c>
    </row>
    <row r="81" spans="1:10" ht="15.75" x14ac:dyDescent="0.25">
      <c r="A81" s="79" t="s">
        <v>89</v>
      </c>
      <c r="B81" s="48" t="s">
        <v>239</v>
      </c>
      <c r="C81" s="127" t="s">
        <v>200</v>
      </c>
      <c r="D81" s="127">
        <v>12</v>
      </c>
      <c r="E81" s="127">
        <v>4.9824000000000002</v>
      </c>
      <c r="F81" s="227">
        <f>VLOOKUP(DUNGCU[[#This Row],[Danh mục dụng cụ]],Table1[[TÊN VẬT TƯ]:[ĐƠN GIÁ
 (Chưa VAT)]],3,0)</f>
        <v>135000</v>
      </c>
      <c r="G81" s="228">
        <f t="shared" ref="G81:G86" si="14">F81/D81/26</f>
        <v>432.69230769230768</v>
      </c>
      <c r="H81" s="228">
        <f t="shared" ref="H81:H86" si="15">G81*E81</f>
        <v>2155.8461538461538</v>
      </c>
      <c r="I81" s="393"/>
    </row>
    <row r="82" spans="1:10" ht="15.75" x14ac:dyDescent="0.25">
      <c r="A82" s="79" t="s">
        <v>89</v>
      </c>
      <c r="B82" s="48" t="s">
        <v>198</v>
      </c>
      <c r="C82" s="127" t="s">
        <v>107</v>
      </c>
      <c r="D82" s="127">
        <v>60</v>
      </c>
      <c r="E82" s="127">
        <v>0.83520000000000005</v>
      </c>
      <c r="F82" s="227">
        <f>VLOOKUP(DUNGCU[[#This Row],[Danh mục dụng cụ]],Table1[[TÊN VẬT TƯ]:[ĐƠN GIÁ
 (Chưa VAT)]],3,0)</f>
        <v>2454545</v>
      </c>
      <c r="G82" s="228">
        <f t="shared" si="14"/>
        <v>1573.4262820512822</v>
      </c>
      <c r="H82" s="228">
        <f t="shared" si="15"/>
        <v>1314.1256307692311</v>
      </c>
      <c r="I82" s="393"/>
      <c r="J82" s="26"/>
    </row>
    <row r="83" spans="1:10" ht="15.75" x14ac:dyDescent="0.25">
      <c r="A83" s="79" t="s">
        <v>89</v>
      </c>
      <c r="B83" s="48" t="s">
        <v>263</v>
      </c>
      <c r="C83" s="127" t="s">
        <v>107</v>
      </c>
      <c r="D83" s="127">
        <v>60</v>
      </c>
      <c r="E83" s="127">
        <v>0.83520000000000005</v>
      </c>
      <c r="F83" s="227">
        <f>VLOOKUP(DUNGCU[[#This Row],[Danh mục dụng cụ]],Table1[[TÊN VẬT TƯ]:[ĐƠN GIÁ
 (Chưa VAT)]],3,0)</f>
        <v>275000</v>
      </c>
      <c r="G83" s="228">
        <f t="shared" si="14"/>
        <v>176.28205128205127</v>
      </c>
      <c r="H83" s="228">
        <f t="shared" si="15"/>
        <v>147.23076923076923</v>
      </c>
      <c r="I83" s="393"/>
    </row>
    <row r="84" spans="1:10" ht="15.75" x14ac:dyDescent="0.25">
      <c r="A84" s="79" t="s">
        <v>89</v>
      </c>
      <c r="B84" s="48" t="s">
        <v>199</v>
      </c>
      <c r="C84" s="127" t="s">
        <v>200</v>
      </c>
      <c r="D84" s="127">
        <v>36</v>
      </c>
      <c r="E84" s="127">
        <v>4.9824000000000002</v>
      </c>
      <c r="F84" s="227">
        <f>VLOOKUP(DUNGCU[[#This Row],[Danh mục dụng cụ]],Table1[[TÊN VẬT TƯ]:[ĐƠN GIÁ
 (Chưa VAT)]],3,0)</f>
        <v>105000</v>
      </c>
      <c r="G84" s="228">
        <f t="shared" si="14"/>
        <v>112.17948717948717</v>
      </c>
      <c r="H84" s="228">
        <f t="shared" si="15"/>
        <v>558.92307692307691</v>
      </c>
      <c r="I84" s="393"/>
    </row>
    <row r="85" spans="1:10" ht="15.75" x14ac:dyDescent="0.25">
      <c r="A85" s="79" t="s">
        <v>89</v>
      </c>
      <c r="B85" s="48" t="s">
        <v>201</v>
      </c>
      <c r="C85" s="127" t="s">
        <v>107</v>
      </c>
      <c r="D85" s="127">
        <v>96</v>
      </c>
      <c r="E85" s="127">
        <v>4.9824000000000002</v>
      </c>
      <c r="F85" s="227">
        <f>VLOOKUP(DUNGCU[[#This Row],[Danh mục dụng cụ]],Table1[[TÊN VẬT TƯ]:[ĐƠN GIÁ
 (Chưa VAT)]],3,0)</f>
        <v>690000</v>
      </c>
      <c r="G85" s="228">
        <f t="shared" si="14"/>
        <v>276.44230769230768</v>
      </c>
      <c r="H85" s="228">
        <f t="shared" si="15"/>
        <v>1377.3461538461538</v>
      </c>
      <c r="I85" s="393"/>
    </row>
    <row r="86" spans="1:10" ht="15.75" x14ac:dyDescent="0.25">
      <c r="A86" s="79" t="s">
        <v>89</v>
      </c>
      <c r="B86" s="48" t="s">
        <v>202</v>
      </c>
      <c r="C86" s="127" t="s">
        <v>107</v>
      </c>
      <c r="D86" s="127">
        <v>96</v>
      </c>
      <c r="E86" s="127">
        <v>4.9824000000000002</v>
      </c>
      <c r="F86" s="227">
        <f>VLOOKUP(DUNGCU[[#This Row],[Danh mục dụng cụ]],Table1[[TÊN VẬT TƯ]:[ĐƠN GIÁ
 (Chưa VAT)]],3,0)</f>
        <v>1665000</v>
      </c>
      <c r="G86" s="228">
        <f t="shared" si="14"/>
        <v>667.06730769230774</v>
      </c>
      <c r="H86" s="228">
        <f t="shared" si="15"/>
        <v>3323.5961538461543</v>
      </c>
      <c r="I86" s="393"/>
    </row>
    <row r="87" spans="1:10" ht="15.75" x14ac:dyDescent="0.25">
      <c r="A87" s="77" t="s">
        <v>129</v>
      </c>
      <c r="B87" s="251" t="s">
        <v>33</v>
      </c>
      <c r="C87" s="47" t="s">
        <v>248</v>
      </c>
      <c r="D87" s="47"/>
      <c r="E87" s="47"/>
      <c r="F87" s="256"/>
      <c r="G87" s="257"/>
      <c r="H87" s="257">
        <f>SUM(H88:H93)</f>
        <v>6904.386174358975</v>
      </c>
      <c r="I87" s="392" t="s">
        <v>252</v>
      </c>
    </row>
    <row r="88" spans="1:10" ht="15.75" x14ac:dyDescent="0.25">
      <c r="A88" s="79" t="s">
        <v>89</v>
      </c>
      <c r="B88" s="48" t="s">
        <v>239</v>
      </c>
      <c r="C88" s="127" t="s">
        <v>200</v>
      </c>
      <c r="D88" s="127">
        <v>12</v>
      </c>
      <c r="E88" s="127">
        <v>3.8752</v>
      </c>
      <c r="F88" s="227">
        <f>VLOOKUP(DUNGCU[[#This Row],[Danh mục dụng cụ]],Table1[[TÊN VẬT TƯ]:[ĐƠN GIÁ
 (Chưa VAT)]],3,0)</f>
        <v>135000</v>
      </c>
      <c r="G88" s="228">
        <f t="shared" ref="G88:G93" si="16">F88/D88/26</f>
        <v>432.69230769230768</v>
      </c>
      <c r="H88" s="228">
        <f t="shared" ref="H88:H93" si="17">G88*E88</f>
        <v>1676.7692307692307</v>
      </c>
      <c r="I88" s="393"/>
    </row>
    <row r="89" spans="1:10" ht="15.75" x14ac:dyDescent="0.25">
      <c r="A89" s="79" t="s">
        <v>89</v>
      </c>
      <c r="B89" s="48" t="s">
        <v>198</v>
      </c>
      <c r="C89" s="127" t="s">
        <v>107</v>
      </c>
      <c r="D89" s="127">
        <v>60</v>
      </c>
      <c r="E89" s="127">
        <v>0.64959999999999996</v>
      </c>
      <c r="F89" s="227">
        <f>VLOOKUP(DUNGCU[[#This Row],[Danh mục dụng cụ]],Table1[[TÊN VẬT TƯ]:[ĐƠN GIÁ
 (Chưa VAT)]],3,0)</f>
        <v>2454545</v>
      </c>
      <c r="G89" s="228">
        <f t="shared" si="16"/>
        <v>1573.4262820512822</v>
      </c>
      <c r="H89" s="228">
        <f t="shared" si="17"/>
        <v>1022.0977128205128</v>
      </c>
      <c r="I89" s="393"/>
    </row>
    <row r="90" spans="1:10" ht="15.75" x14ac:dyDescent="0.25">
      <c r="A90" s="79" t="s">
        <v>89</v>
      </c>
      <c r="B90" s="48" t="s">
        <v>263</v>
      </c>
      <c r="C90" s="127" t="s">
        <v>107</v>
      </c>
      <c r="D90" s="127">
        <v>60</v>
      </c>
      <c r="E90" s="127">
        <v>0.64959999999999996</v>
      </c>
      <c r="F90" s="227">
        <f>VLOOKUP(DUNGCU[[#This Row],[Danh mục dụng cụ]],Table1[[TÊN VẬT TƯ]:[ĐƠN GIÁ
 (Chưa VAT)]],3,0)</f>
        <v>275000</v>
      </c>
      <c r="G90" s="228">
        <f t="shared" si="16"/>
        <v>176.28205128205127</v>
      </c>
      <c r="H90" s="228">
        <f t="shared" si="17"/>
        <v>114.5128205128205</v>
      </c>
      <c r="I90" s="393"/>
      <c r="J90" s="26"/>
    </row>
    <row r="91" spans="1:10" ht="15.75" x14ac:dyDescent="0.25">
      <c r="A91" s="79" t="s">
        <v>89</v>
      </c>
      <c r="B91" s="48" t="s">
        <v>199</v>
      </c>
      <c r="C91" s="127" t="s">
        <v>200</v>
      </c>
      <c r="D91" s="127">
        <v>36</v>
      </c>
      <c r="E91" s="127">
        <v>3.8752</v>
      </c>
      <c r="F91" s="227">
        <f>VLOOKUP(DUNGCU[[#This Row],[Danh mục dụng cụ]],Table1[[TÊN VẬT TƯ]:[ĐƠN GIÁ
 (Chưa VAT)]],3,0)</f>
        <v>105000</v>
      </c>
      <c r="G91" s="228">
        <f t="shared" si="16"/>
        <v>112.17948717948717</v>
      </c>
      <c r="H91" s="228">
        <f t="shared" si="17"/>
        <v>434.71794871794867</v>
      </c>
      <c r="I91" s="393"/>
    </row>
    <row r="92" spans="1:10" ht="15.75" x14ac:dyDescent="0.25">
      <c r="A92" s="79" t="s">
        <v>89</v>
      </c>
      <c r="B92" s="48" t="s">
        <v>201</v>
      </c>
      <c r="C92" s="127" t="s">
        <v>107</v>
      </c>
      <c r="D92" s="127">
        <v>96</v>
      </c>
      <c r="E92" s="127">
        <v>3.8752</v>
      </c>
      <c r="F92" s="227">
        <f>VLOOKUP(DUNGCU[[#This Row],[Danh mục dụng cụ]],Table1[[TÊN VẬT TƯ]:[ĐƠN GIÁ
 (Chưa VAT)]],3,0)</f>
        <v>690000</v>
      </c>
      <c r="G92" s="228">
        <f t="shared" si="16"/>
        <v>276.44230769230768</v>
      </c>
      <c r="H92" s="228">
        <f t="shared" si="17"/>
        <v>1071.2692307692307</v>
      </c>
      <c r="I92" s="393"/>
    </row>
    <row r="93" spans="1:10" ht="15.75" x14ac:dyDescent="0.25">
      <c r="A93" s="79" t="s">
        <v>89</v>
      </c>
      <c r="B93" s="48" t="s">
        <v>202</v>
      </c>
      <c r="C93" s="127" t="s">
        <v>107</v>
      </c>
      <c r="D93" s="127">
        <v>96</v>
      </c>
      <c r="E93" s="127">
        <v>3.8752</v>
      </c>
      <c r="F93" s="227">
        <f>VLOOKUP(DUNGCU[[#This Row],[Danh mục dụng cụ]],Table1[[TÊN VẬT TƯ]:[ĐƠN GIÁ
 (Chưa VAT)]],3,0)</f>
        <v>1665000</v>
      </c>
      <c r="G93" s="228">
        <f t="shared" si="16"/>
        <v>667.06730769230774</v>
      </c>
      <c r="H93" s="228">
        <f t="shared" si="17"/>
        <v>2585.0192307692309</v>
      </c>
      <c r="I93" s="393"/>
    </row>
    <row r="94" spans="1:10" ht="15.75" x14ac:dyDescent="0.25">
      <c r="A94" s="77" t="s">
        <v>130</v>
      </c>
      <c r="B94" s="251" t="s">
        <v>34</v>
      </c>
      <c r="C94" s="47" t="s">
        <v>248</v>
      </c>
      <c r="D94" s="47"/>
      <c r="E94" s="47"/>
      <c r="F94" s="256"/>
      <c r="G94" s="257"/>
      <c r="H94" s="257">
        <f>SUM(H95:H100)</f>
        <v>4931.7044102564105</v>
      </c>
      <c r="I94" s="392" t="s">
        <v>252</v>
      </c>
    </row>
    <row r="95" spans="1:10" ht="15.75" x14ac:dyDescent="0.25">
      <c r="A95" s="79" t="s">
        <v>89</v>
      </c>
      <c r="B95" s="48" t="s">
        <v>239</v>
      </c>
      <c r="C95" s="127" t="s">
        <v>200</v>
      </c>
      <c r="D95" s="127">
        <v>12</v>
      </c>
      <c r="E95" s="127">
        <v>2.7679999999999998</v>
      </c>
      <c r="F95" s="227">
        <f>VLOOKUP(DUNGCU[[#This Row],[Danh mục dụng cụ]],Table1[[TÊN VẬT TƯ]:[ĐƠN GIÁ
 (Chưa VAT)]],3,0)</f>
        <v>135000</v>
      </c>
      <c r="G95" s="228">
        <f t="shared" ref="G95:G100" si="18">F95/D95/26</f>
        <v>432.69230769230768</v>
      </c>
      <c r="H95" s="228">
        <f t="shared" ref="H95:H100" si="19">G95*E95</f>
        <v>1197.6923076923076</v>
      </c>
      <c r="I95" s="393"/>
    </row>
    <row r="96" spans="1:10" ht="15.75" x14ac:dyDescent="0.25">
      <c r="A96" s="79" t="s">
        <v>89</v>
      </c>
      <c r="B96" s="48" t="s">
        <v>198</v>
      </c>
      <c r="C96" s="127" t="s">
        <v>107</v>
      </c>
      <c r="D96" s="127">
        <v>60</v>
      </c>
      <c r="E96" s="127">
        <v>0.46400000000000002</v>
      </c>
      <c r="F96" s="227">
        <f>VLOOKUP(DUNGCU[[#This Row],[Danh mục dụng cụ]],Table1[[TÊN VẬT TƯ]:[ĐƠN GIÁ
 (Chưa VAT)]],3,0)</f>
        <v>2454545</v>
      </c>
      <c r="G96" s="228">
        <f t="shared" si="18"/>
        <v>1573.4262820512822</v>
      </c>
      <c r="H96" s="228">
        <f t="shared" si="19"/>
        <v>730.06979487179501</v>
      </c>
      <c r="I96" s="393"/>
    </row>
    <row r="97" spans="1:10" ht="15.75" x14ac:dyDescent="0.25">
      <c r="A97" s="79" t="s">
        <v>89</v>
      </c>
      <c r="B97" s="48" t="s">
        <v>263</v>
      </c>
      <c r="C97" s="127" t="s">
        <v>107</v>
      </c>
      <c r="D97" s="127">
        <v>60</v>
      </c>
      <c r="E97" s="127">
        <v>0.46400000000000002</v>
      </c>
      <c r="F97" s="227">
        <f>VLOOKUP(DUNGCU[[#This Row],[Danh mục dụng cụ]],Table1[[TÊN VẬT TƯ]:[ĐƠN GIÁ
 (Chưa VAT)]],3,0)</f>
        <v>275000</v>
      </c>
      <c r="G97" s="228">
        <f t="shared" si="18"/>
        <v>176.28205128205127</v>
      </c>
      <c r="H97" s="228">
        <f t="shared" si="19"/>
        <v>81.794871794871796</v>
      </c>
      <c r="I97" s="393"/>
      <c r="J97" s="26"/>
    </row>
    <row r="98" spans="1:10" ht="15.75" x14ac:dyDescent="0.25">
      <c r="A98" s="79" t="s">
        <v>89</v>
      </c>
      <c r="B98" s="48" t="s">
        <v>199</v>
      </c>
      <c r="C98" s="127" t="s">
        <v>200</v>
      </c>
      <c r="D98" s="127">
        <v>36</v>
      </c>
      <c r="E98" s="127">
        <v>2.7679999999999998</v>
      </c>
      <c r="F98" s="227">
        <f>VLOOKUP(DUNGCU[[#This Row],[Danh mục dụng cụ]],Table1[[TÊN VẬT TƯ]:[ĐƠN GIÁ
 (Chưa VAT)]],3,0)</f>
        <v>105000</v>
      </c>
      <c r="G98" s="228">
        <f t="shared" si="18"/>
        <v>112.17948717948717</v>
      </c>
      <c r="H98" s="228">
        <f t="shared" si="19"/>
        <v>310.51282051282044</v>
      </c>
      <c r="I98" s="393"/>
    </row>
    <row r="99" spans="1:10" ht="15.75" x14ac:dyDescent="0.25">
      <c r="A99" s="79" t="s">
        <v>89</v>
      </c>
      <c r="B99" s="48" t="s">
        <v>201</v>
      </c>
      <c r="C99" s="127" t="s">
        <v>107</v>
      </c>
      <c r="D99" s="127">
        <v>96</v>
      </c>
      <c r="E99" s="127">
        <v>2.7679999999999998</v>
      </c>
      <c r="F99" s="227">
        <f>VLOOKUP(DUNGCU[[#This Row],[Danh mục dụng cụ]],Table1[[TÊN VẬT TƯ]:[ĐƠN GIÁ
 (Chưa VAT)]],3,0)</f>
        <v>690000</v>
      </c>
      <c r="G99" s="228">
        <f t="shared" si="18"/>
        <v>276.44230769230768</v>
      </c>
      <c r="H99" s="228">
        <f t="shared" si="19"/>
        <v>765.19230769230762</v>
      </c>
      <c r="I99" s="393"/>
    </row>
    <row r="100" spans="1:10" ht="15.75" x14ac:dyDescent="0.25">
      <c r="A100" s="79" t="s">
        <v>89</v>
      </c>
      <c r="B100" s="48" t="s">
        <v>202</v>
      </c>
      <c r="C100" s="127" t="s">
        <v>107</v>
      </c>
      <c r="D100" s="127">
        <v>96</v>
      </c>
      <c r="E100" s="127">
        <v>2.7679999999999998</v>
      </c>
      <c r="F100" s="227">
        <f>VLOOKUP(DUNGCU[[#This Row],[Danh mục dụng cụ]],Table1[[TÊN VẬT TƯ]:[ĐƠN GIÁ
 (Chưa VAT)]],3,0)</f>
        <v>1665000</v>
      </c>
      <c r="G100" s="228">
        <f t="shared" si="18"/>
        <v>667.06730769230774</v>
      </c>
      <c r="H100" s="228">
        <f t="shared" si="19"/>
        <v>1846.4423076923076</v>
      </c>
      <c r="I100" s="393"/>
    </row>
    <row r="101" spans="1:10" ht="31.5" x14ac:dyDescent="0.25">
      <c r="A101" s="77" t="s">
        <v>131</v>
      </c>
      <c r="B101" s="251" t="s">
        <v>35</v>
      </c>
      <c r="C101" s="47" t="s">
        <v>248</v>
      </c>
      <c r="D101" s="47"/>
      <c r="E101" s="47"/>
      <c r="F101" s="256"/>
      <c r="G101" s="257"/>
      <c r="H101" s="257">
        <f>SUM(H102:H107)</f>
        <v>986.34088205128205</v>
      </c>
      <c r="I101" s="392" t="s">
        <v>252</v>
      </c>
    </row>
    <row r="102" spans="1:10" ht="15.75" x14ac:dyDescent="0.25">
      <c r="A102" s="79" t="s">
        <v>89</v>
      </c>
      <c r="B102" s="48" t="s">
        <v>239</v>
      </c>
      <c r="C102" s="127" t="s">
        <v>200</v>
      </c>
      <c r="D102" s="127">
        <v>12</v>
      </c>
      <c r="E102" s="127">
        <v>0.55359999999999998</v>
      </c>
      <c r="F102" s="227">
        <f>VLOOKUP(DUNGCU[[#This Row],[Danh mục dụng cụ]],Table1[[TÊN VẬT TƯ]:[ĐƠN GIÁ
 (Chưa VAT)]],3,0)</f>
        <v>135000</v>
      </c>
      <c r="G102" s="228">
        <f t="shared" ref="G102:G107" si="20">F102/D102/26</f>
        <v>432.69230769230768</v>
      </c>
      <c r="H102" s="228">
        <f t="shared" ref="H102:H107" si="21">G102*E102</f>
        <v>239.53846153846152</v>
      </c>
      <c r="I102" s="393"/>
    </row>
    <row r="103" spans="1:10" ht="15.75" x14ac:dyDescent="0.25">
      <c r="A103" s="79" t="s">
        <v>89</v>
      </c>
      <c r="B103" s="48" t="s">
        <v>198</v>
      </c>
      <c r="C103" s="127" t="s">
        <v>107</v>
      </c>
      <c r="D103" s="127">
        <v>60</v>
      </c>
      <c r="E103" s="127">
        <v>9.2799999999999994E-2</v>
      </c>
      <c r="F103" s="227">
        <f>VLOOKUP(DUNGCU[[#This Row],[Danh mục dụng cụ]],Table1[[TÊN VẬT TƯ]:[ĐƠN GIÁ
 (Chưa VAT)]],3,0)</f>
        <v>2454545</v>
      </c>
      <c r="G103" s="228">
        <f t="shared" si="20"/>
        <v>1573.4262820512822</v>
      </c>
      <c r="H103" s="228">
        <f t="shared" si="21"/>
        <v>146.01395897435899</v>
      </c>
      <c r="I103" s="393"/>
    </row>
    <row r="104" spans="1:10" ht="15.75" x14ac:dyDescent="0.25">
      <c r="A104" s="79" t="s">
        <v>89</v>
      </c>
      <c r="B104" s="48" t="s">
        <v>263</v>
      </c>
      <c r="C104" s="127" t="s">
        <v>107</v>
      </c>
      <c r="D104" s="127">
        <v>60</v>
      </c>
      <c r="E104" s="127">
        <v>9.2799999999999994E-2</v>
      </c>
      <c r="F104" s="227">
        <f>VLOOKUP(DUNGCU[[#This Row],[Danh mục dụng cụ]],Table1[[TÊN VẬT TƯ]:[ĐƠN GIÁ
 (Chưa VAT)]],3,0)</f>
        <v>275000</v>
      </c>
      <c r="G104" s="228">
        <f t="shared" si="20"/>
        <v>176.28205128205127</v>
      </c>
      <c r="H104" s="228">
        <f t="shared" si="21"/>
        <v>16.358974358974358</v>
      </c>
      <c r="I104" s="393"/>
      <c r="J104" s="26"/>
    </row>
    <row r="105" spans="1:10" ht="15.75" x14ac:dyDescent="0.25">
      <c r="A105" s="79" t="s">
        <v>89</v>
      </c>
      <c r="B105" s="48" t="s">
        <v>199</v>
      </c>
      <c r="C105" s="127" t="s">
        <v>200</v>
      </c>
      <c r="D105" s="127">
        <v>36</v>
      </c>
      <c r="E105" s="127">
        <v>0.55359999999999998</v>
      </c>
      <c r="F105" s="227">
        <f>VLOOKUP(DUNGCU[[#This Row],[Danh mục dụng cụ]],Table1[[TÊN VẬT TƯ]:[ĐƠN GIÁ
 (Chưa VAT)]],3,0)</f>
        <v>105000</v>
      </c>
      <c r="G105" s="228">
        <f t="shared" si="20"/>
        <v>112.17948717948717</v>
      </c>
      <c r="H105" s="228">
        <f t="shared" si="21"/>
        <v>62.102564102564095</v>
      </c>
      <c r="I105" s="393"/>
    </row>
    <row r="106" spans="1:10" ht="15.75" x14ac:dyDescent="0.25">
      <c r="A106" s="79" t="s">
        <v>89</v>
      </c>
      <c r="B106" s="48" t="s">
        <v>201</v>
      </c>
      <c r="C106" s="127" t="s">
        <v>107</v>
      </c>
      <c r="D106" s="127">
        <v>96</v>
      </c>
      <c r="E106" s="127">
        <v>0.55359999999999998</v>
      </c>
      <c r="F106" s="227">
        <f>VLOOKUP(DUNGCU[[#This Row],[Danh mục dụng cụ]],Table1[[TÊN VẬT TƯ]:[ĐƠN GIÁ
 (Chưa VAT)]],3,0)</f>
        <v>690000</v>
      </c>
      <c r="G106" s="228">
        <f t="shared" si="20"/>
        <v>276.44230769230768</v>
      </c>
      <c r="H106" s="228">
        <f t="shared" si="21"/>
        <v>153.03846153846152</v>
      </c>
      <c r="I106" s="393"/>
    </row>
    <row r="107" spans="1:10" ht="15.75" x14ac:dyDescent="0.25">
      <c r="A107" s="79" t="s">
        <v>89</v>
      </c>
      <c r="B107" s="48" t="s">
        <v>202</v>
      </c>
      <c r="C107" s="127" t="s">
        <v>107</v>
      </c>
      <c r="D107" s="127">
        <v>96</v>
      </c>
      <c r="E107" s="127">
        <v>0.55359999999999998</v>
      </c>
      <c r="F107" s="227">
        <f>VLOOKUP(DUNGCU[[#This Row],[Danh mục dụng cụ]],Table1[[TÊN VẬT TƯ]:[ĐƠN GIÁ
 (Chưa VAT)]],3,0)</f>
        <v>1665000</v>
      </c>
      <c r="G107" s="228">
        <f t="shared" si="20"/>
        <v>667.06730769230774</v>
      </c>
      <c r="H107" s="228">
        <f t="shared" si="21"/>
        <v>369.28846153846155</v>
      </c>
      <c r="I107" s="393"/>
    </row>
    <row r="108" spans="1:10" ht="15.75" x14ac:dyDescent="0.25">
      <c r="A108" s="77" t="s">
        <v>132</v>
      </c>
      <c r="B108" s="251" t="s">
        <v>36</v>
      </c>
      <c r="C108" s="47" t="s">
        <v>248</v>
      </c>
      <c r="D108" s="47"/>
      <c r="E108" s="47"/>
      <c r="F108" s="256"/>
      <c r="G108" s="257"/>
      <c r="H108" s="257">
        <f>SUM(H109:H114)</f>
        <v>12822.431466666665</v>
      </c>
      <c r="I108" s="392" t="s">
        <v>252</v>
      </c>
    </row>
    <row r="109" spans="1:10" ht="15.75" x14ac:dyDescent="0.25">
      <c r="A109" s="79" t="s">
        <v>89</v>
      </c>
      <c r="B109" s="48" t="s">
        <v>239</v>
      </c>
      <c r="C109" s="127" t="s">
        <v>200</v>
      </c>
      <c r="D109" s="127">
        <v>12</v>
      </c>
      <c r="E109" s="127">
        <v>7.1967999999999996</v>
      </c>
      <c r="F109" s="227">
        <f>VLOOKUP(DUNGCU[[#This Row],[Danh mục dụng cụ]],Table1[[TÊN VẬT TƯ]:[ĐƠN GIÁ
 (Chưa VAT)]],3,0)</f>
        <v>135000</v>
      </c>
      <c r="G109" s="228">
        <f t="shared" ref="G109:G114" si="22">F109/D109/26</f>
        <v>432.69230769230768</v>
      </c>
      <c r="H109" s="228">
        <f t="shared" ref="H109:H114" si="23">G109*E109</f>
        <v>3113.9999999999995</v>
      </c>
      <c r="I109" s="393"/>
    </row>
    <row r="110" spans="1:10" ht="15.75" x14ac:dyDescent="0.25">
      <c r="A110" s="79" t="s">
        <v>89</v>
      </c>
      <c r="B110" s="48" t="s">
        <v>198</v>
      </c>
      <c r="C110" s="127" t="s">
        <v>107</v>
      </c>
      <c r="D110" s="127">
        <v>60</v>
      </c>
      <c r="E110" s="127">
        <v>1.2063999999999999</v>
      </c>
      <c r="F110" s="227">
        <f>VLOOKUP(DUNGCU[[#This Row],[Danh mục dụng cụ]],Table1[[TÊN VẬT TƯ]:[ĐƠN GIÁ
 (Chưa VAT)]],3,0)</f>
        <v>2454545</v>
      </c>
      <c r="G110" s="228">
        <f t="shared" si="22"/>
        <v>1573.4262820512822</v>
      </c>
      <c r="H110" s="228">
        <f t="shared" si="23"/>
        <v>1898.1814666666667</v>
      </c>
      <c r="I110" s="393"/>
    </row>
    <row r="111" spans="1:10" ht="15.75" x14ac:dyDescent="0.25">
      <c r="A111" s="79" t="s">
        <v>89</v>
      </c>
      <c r="B111" s="48" t="s">
        <v>263</v>
      </c>
      <c r="C111" s="127" t="s">
        <v>107</v>
      </c>
      <c r="D111" s="127">
        <v>60</v>
      </c>
      <c r="E111" s="127">
        <v>1.2063999999999999</v>
      </c>
      <c r="F111" s="227">
        <f>VLOOKUP(DUNGCU[[#This Row],[Danh mục dụng cụ]],Table1[[TÊN VẬT TƯ]:[ĐƠN GIÁ
 (Chưa VAT)]],3,0)</f>
        <v>275000</v>
      </c>
      <c r="G111" s="228">
        <f t="shared" si="22"/>
        <v>176.28205128205127</v>
      </c>
      <c r="H111" s="228">
        <f t="shared" si="23"/>
        <v>212.66666666666663</v>
      </c>
      <c r="I111" s="393"/>
    </row>
    <row r="112" spans="1:10" ht="15.75" x14ac:dyDescent="0.25">
      <c r="A112" s="79" t="s">
        <v>89</v>
      </c>
      <c r="B112" s="48" t="s">
        <v>199</v>
      </c>
      <c r="C112" s="127" t="s">
        <v>200</v>
      </c>
      <c r="D112" s="127">
        <v>36</v>
      </c>
      <c r="E112" s="127">
        <v>7.1967999999999996</v>
      </c>
      <c r="F112" s="227">
        <f>VLOOKUP(DUNGCU[[#This Row],[Danh mục dụng cụ]],Table1[[TÊN VẬT TƯ]:[ĐƠN GIÁ
 (Chưa VAT)]],3,0)</f>
        <v>105000</v>
      </c>
      <c r="G112" s="228">
        <f t="shared" si="22"/>
        <v>112.17948717948717</v>
      </c>
      <c r="H112" s="228">
        <f t="shared" si="23"/>
        <v>807.33333333333326</v>
      </c>
      <c r="I112" s="393"/>
    </row>
    <row r="113" spans="1:10" ht="15.75" x14ac:dyDescent="0.25">
      <c r="A113" s="79" t="s">
        <v>89</v>
      </c>
      <c r="B113" s="48" t="s">
        <v>201</v>
      </c>
      <c r="C113" s="127" t="s">
        <v>107</v>
      </c>
      <c r="D113" s="127">
        <v>96</v>
      </c>
      <c r="E113" s="127">
        <v>7.1967999999999996</v>
      </c>
      <c r="F113" s="227">
        <f>VLOOKUP(DUNGCU[[#This Row],[Danh mục dụng cụ]],Table1[[TÊN VẬT TƯ]:[ĐƠN GIÁ
 (Chưa VAT)]],3,0)</f>
        <v>690000</v>
      </c>
      <c r="G113" s="228">
        <f t="shared" si="22"/>
        <v>276.44230769230768</v>
      </c>
      <c r="H113" s="228">
        <f t="shared" si="23"/>
        <v>1989.4999999999998</v>
      </c>
      <c r="I113" s="393"/>
      <c r="J113" s="26"/>
    </row>
    <row r="114" spans="1:10" ht="15.75" x14ac:dyDescent="0.25">
      <c r="A114" s="79" t="s">
        <v>89</v>
      </c>
      <c r="B114" s="48" t="s">
        <v>202</v>
      </c>
      <c r="C114" s="127" t="s">
        <v>107</v>
      </c>
      <c r="D114" s="127">
        <v>96</v>
      </c>
      <c r="E114" s="127">
        <v>7.1967999999999996</v>
      </c>
      <c r="F114" s="227">
        <f>VLOOKUP(DUNGCU[[#This Row],[Danh mục dụng cụ]],Table1[[TÊN VẬT TƯ]:[ĐƠN GIÁ
 (Chưa VAT)]],3,0)</f>
        <v>1665000</v>
      </c>
      <c r="G114" s="228">
        <f t="shared" si="22"/>
        <v>667.06730769230774</v>
      </c>
      <c r="H114" s="228">
        <f t="shared" si="23"/>
        <v>4800.75</v>
      </c>
      <c r="I114" s="393"/>
    </row>
    <row r="115" spans="1:10" ht="15.75" x14ac:dyDescent="0.25">
      <c r="A115" s="77" t="s">
        <v>133</v>
      </c>
      <c r="B115" s="251" t="s">
        <v>37</v>
      </c>
      <c r="C115" s="47" t="s">
        <v>248</v>
      </c>
      <c r="D115" s="47"/>
      <c r="E115" s="47"/>
      <c r="F115" s="256"/>
      <c r="G115" s="257"/>
      <c r="H115" s="257">
        <f>SUM(H116:H121)</f>
        <v>2465.8522051282052</v>
      </c>
      <c r="I115" s="392" t="s">
        <v>252</v>
      </c>
    </row>
    <row r="116" spans="1:10" ht="15.75" x14ac:dyDescent="0.25">
      <c r="A116" s="79" t="s">
        <v>89</v>
      </c>
      <c r="B116" s="48" t="s">
        <v>239</v>
      </c>
      <c r="C116" s="127" t="s">
        <v>200</v>
      </c>
      <c r="D116" s="127">
        <v>12</v>
      </c>
      <c r="E116" s="127">
        <v>1.3839999999999999</v>
      </c>
      <c r="F116" s="227">
        <f>VLOOKUP(DUNGCU[[#This Row],[Danh mục dụng cụ]],Table1[[TÊN VẬT TƯ]:[ĐƠN GIÁ
 (Chưa VAT)]],3,0)</f>
        <v>135000</v>
      </c>
      <c r="G116" s="228">
        <f t="shared" ref="G116:G121" si="24">F116/D116/26</f>
        <v>432.69230769230768</v>
      </c>
      <c r="H116" s="228">
        <f t="shared" ref="H116:H121" si="25">G116*E116</f>
        <v>598.84615384615381</v>
      </c>
      <c r="I116" s="393"/>
    </row>
    <row r="117" spans="1:10" ht="15.75" x14ac:dyDescent="0.25">
      <c r="A117" s="79" t="s">
        <v>89</v>
      </c>
      <c r="B117" s="48" t="s">
        <v>198</v>
      </c>
      <c r="C117" s="127" t="s">
        <v>107</v>
      </c>
      <c r="D117" s="127">
        <v>60</v>
      </c>
      <c r="E117" s="127">
        <v>0.23200000000000001</v>
      </c>
      <c r="F117" s="227">
        <f>VLOOKUP(DUNGCU[[#This Row],[Danh mục dụng cụ]],Table1[[TÊN VẬT TƯ]:[ĐƠN GIÁ
 (Chưa VAT)]],3,0)</f>
        <v>2454545</v>
      </c>
      <c r="G117" s="228">
        <f t="shared" si="24"/>
        <v>1573.4262820512822</v>
      </c>
      <c r="H117" s="228">
        <f t="shared" si="25"/>
        <v>365.03489743589751</v>
      </c>
      <c r="I117" s="393"/>
    </row>
    <row r="118" spans="1:10" ht="15.75" x14ac:dyDescent="0.25">
      <c r="A118" s="79" t="s">
        <v>89</v>
      </c>
      <c r="B118" s="48" t="s">
        <v>263</v>
      </c>
      <c r="C118" s="127" t="s">
        <v>107</v>
      </c>
      <c r="D118" s="127">
        <v>60</v>
      </c>
      <c r="E118" s="127">
        <v>0.23200000000000001</v>
      </c>
      <c r="F118" s="227">
        <f>VLOOKUP(DUNGCU[[#This Row],[Danh mục dụng cụ]],Table1[[TÊN VẬT TƯ]:[ĐƠN GIÁ
 (Chưa VAT)]],3,0)</f>
        <v>275000</v>
      </c>
      <c r="G118" s="228">
        <f t="shared" si="24"/>
        <v>176.28205128205127</v>
      </c>
      <c r="H118" s="228">
        <f t="shared" si="25"/>
        <v>40.897435897435898</v>
      </c>
      <c r="I118" s="393"/>
    </row>
    <row r="119" spans="1:10" ht="15.75" x14ac:dyDescent="0.25">
      <c r="A119" s="79" t="s">
        <v>89</v>
      </c>
      <c r="B119" s="48" t="s">
        <v>199</v>
      </c>
      <c r="C119" s="127" t="s">
        <v>200</v>
      </c>
      <c r="D119" s="127">
        <v>36</v>
      </c>
      <c r="E119" s="127">
        <v>1.3839999999999999</v>
      </c>
      <c r="F119" s="227">
        <f>VLOOKUP(DUNGCU[[#This Row],[Danh mục dụng cụ]],Table1[[TÊN VẬT TƯ]:[ĐƠN GIÁ
 (Chưa VAT)]],3,0)</f>
        <v>105000</v>
      </c>
      <c r="G119" s="228">
        <f t="shared" si="24"/>
        <v>112.17948717948717</v>
      </c>
      <c r="H119" s="228">
        <f t="shared" si="25"/>
        <v>155.25641025641022</v>
      </c>
      <c r="I119" s="393"/>
    </row>
    <row r="120" spans="1:10" ht="15.75" x14ac:dyDescent="0.25">
      <c r="A120" s="79" t="s">
        <v>89</v>
      </c>
      <c r="B120" s="48" t="s">
        <v>201</v>
      </c>
      <c r="C120" s="127" t="s">
        <v>107</v>
      </c>
      <c r="D120" s="127">
        <v>96</v>
      </c>
      <c r="E120" s="127">
        <v>1.3839999999999999</v>
      </c>
      <c r="F120" s="227">
        <f>VLOOKUP(DUNGCU[[#This Row],[Danh mục dụng cụ]],Table1[[TÊN VẬT TƯ]:[ĐƠN GIÁ
 (Chưa VAT)]],3,0)</f>
        <v>690000</v>
      </c>
      <c r="G120" s="228">
        <f t="shared" si="24"/>
        <v>276.44230769230768</v>
      </c>
      <c r="H120" s="228">
        <f t="shared" si="25"/>
        <v>382.59615384615381</v>
      </c>
      <c r="I120" s="393"/>
      <c r="J120" s="26"/>
    </row>
    <row r="121" spans="1:10" ht="15.75" x14ac:dyDescent="0.25">
      <c r="A121" s="79" t="s">
        <v>89</v>
      </c>
      <c r="B121" s="48" t="s">
        <v>202</v>
      </c>
      <c r="C121" s="127" t="s">
        <v>107</v>
      </c>
      <c r="D121" s="127">
        <v>96</v>
      </c>
      <c r="E121" s="127">
        <v>1.3839999999999999</v>
      </c>
      <c r="F121" s="227">
        <f>VLOOKUP(DUNGCU[[#This Row],[Danh mục dụng cụ]],Table1[[TÊN VẬT TƯ]:[ĐƠN GIÁ
 (Chưa VAT)]],3,0)</f>
        <v>1665000</v>
      </c>
      <c r="G121" s="228">
        <f t="shared" si="24"/>
        <v>667.06730769230774</v>
      </c>
      <c r="H121" s="228">
        <f t="shared" si="25"/>
        <v>923.22115384615381</v>
      </c>
      <c r="I121" s="393"/>
    </row>
    <row r="122" spans="1:10" ht="31.5" x14ac:dyDescent="0.25">
      <c r="A122" s="77" t="s">
        <v>134</v>
      </c>
      <c r="B122" s="251" t="s">
        <v>38</v>
      </c>
      <c r="C122" s="47" t="s">
        <v>248</v>
      </c>
      <c r="D122" s="47"/>
      <c r="E122" s="47"/>
      <c r="F122" s="256"/>
      <c r="G122" s="257"/>
      <c r="H122" s="257">
        <f>SUM(H123:H130)</f>
        <v>644.40033564102566</v>
      </c>
      <c r="I122" s="392" t="s">
        <v>252</v>
      </c>
    </row>
    <row r="123" spans="1:10" ht="15.75" x14ac:dyDescent="0.25">
      <c r="A123" s="79" t="s">
        <v>89</v>
      </c>
      <c r="B123" s="48" t="s">
        <v>239</v>
      </c>
      <c r="C123" s="127" t="s">
        <v>200</v>
      </c>
      <c r="D123" s="127">
        <v>12</v>
      </c>
      <c r="E123" s="127">
        <v>0.27679999999999999</v>
      </c>
      <c r="F123" s="227">
        <f>VLOOKUP(DUNGCU[[#This Row],[Danh mục dụng cụ]],Table1[[TÊN VẬT TƯ]:[ĐƠN GIÁ
 (Chưa VAT)]],3,0)</f>
        <v>135000</v>
      </c>
      <c r="G123" s="228">
        <f t="shared" ref="G123:G130" si="26">F123/D123/26</f>
        <v>432.69230769230768</v>
      </c>
      <c r="H123" s="228">
        <f t="shared" ref="H123:H130" si="27">G123*E123</f>
        <v>119.76923076923076</v>
      </c>
      <c r="I123" s="393"/>
    </row>
    <row r="124" spans="1:10" ht="15.75" x14ac:dyDescent="0.25">
      <c r="A124" s="79" t="s">
        <v>89</v>
      </c>
      <c r="B124" s="48" t="s">
        <v>198</v>
      </c>
      <c r="C124" s="127" t="s">
        <v>107</v>
      </c>
      <c r="D124" s="127">
        <v>60</v>
      </c>
      <c r="E124" s="127">
        <v>4.6399999999999997E-2</v>
      </c>
      <c r="F124" s="227">
        <f>VLOOKUP(DUNGCU[[#This Row],[Danh mục dụng cụ]],Table1[[TÊN VẬT TƯ]:[ĐƠN GIÁ
 (Chưa VAT)]],3,0)</f>
        <v>2454545</v>
      </c>
      <c r="G124" s="228">
        <f t="shared" si="26"/>
        <v>1573.4262820512822</v>
      </c>
      <c r="H124" s="228">
        <f t="shared" si="27"/>
        <v>73.006979487179493</v>
      </c>
      <c r="I124" s="393"/>
    </row>
    <row r="125" spans="1:10" ht="15.75" x14ac:dyDescent="0.25">
      <c r="A125" s="79" t="s">
        <v>89</v>
      </c>
      <c r="B125" s="48" t="s">
        <v>263</v>
      </c>
      <c r="C125" s="127" t="s">
        <v>107</v>
      </c>
      <c r="D125" s="127">
        <v>60</v>
      </c>
      <c r="E125" s="127">
        <v>4.6399999999999997E-2</v>
      </c>
      <c r="F125" s="227">
        <f>VLOOKUP(DUNGCU[[#This Row],[Danh mục dụng cụ]],Table1[[TÊN VẬT TƯ]:[ĐƠN GIÁ
 (Chưa VAT)]],3,0)</f>
        <v>275000</v>
      </c>
      <c r="G125" s="228">
        <f t="shared" si="26"/>
        <v>176.28205128205127</v>
      </c>
      <c r="H125" s="228">
        <f t="shared" si="27"/>
        <v>8.1794871794871788</v>
      </c>
      <c r="I125" s="393"/>
    </row>
    <row r="126" spans="1:10" ht="15.75" x14ac:dyDescent="0.25">
      <c r="A126" s="79" t="s">
        <v>89</v>
      </c>
      <c r="B126" s="48" t="s">
        <v>199</v>
      </c>
      <c r="C126" s="127" t="s">
        <v>200</v>
      </c>
      <c r="D126" s="127">
        <v>36</v>
      </c>
      <c r="E126" s="127">
        <v>0.27679999999999999</v>
      </c>
      <c r="F126" s="227">
        <f>VLOOKUP(DUNGCU[[#This Row],[Danh mục dụng cụ]],Table1[[TÊN VẬT TƯ]:[ĐƠN GIÁ
 (Chưa VAT)]],3,0)</f>
        <v>105000</v>
      </c>
      <c r="G126" s="228">
        <f t="shared" si="26"/>
        <v>112.17948717948717</v>
      </c>
      <c r="H126" s="228">
        <f t="shared" si="27"/>
        <v>31.051282051282048</v>
      </c>
      <c r="I126" s="393"/>
    </row>
    <row r="127" spans="1:10" ht="15.75" x14ac:dyDescent="0.25">
      <c r="A127" s="79" t="s">
        <v>89</v>
      </c>
      <c r="B127" s="48" t="s">
        <v>241</v>
      </c>
      <c r="C127" s="127" t="s">
        <v>107</v>
      </c>
      <c r="D127" s="127">
        <v>60</v>
      </c>
      <c r="E127" s="127">
        <v>2.0999999999999999E-3</v>
      </c>
      <c r="F127" s="227">
        <f>VLOOKUP(DUNGCU[[#This Row],[Danh mục dụng cụ]],Table1[[TÊN VẬT TƯ]:[ĐƠN GIÁ
 (Chưa VAT)]],3,0)</f>
        <v>2363636</v>
      </c>
      <c r="G127" s="228">
        <f t="shared" si="26"/>
        <v>1515.1512820512821</v>
      </c>
      <c r="H127" s="228">
        <f t="shared" si="27"/>
        <v>3.1818176923076922</v>
      </c>
      <c r="I127" s="393"/>
    </row>
    <row r="128" spans="1:10" ht="15.75" x14ac:dyDescent="0.25">
      <c r="A128" s="79" t="s">
        <v>89</v>
      </c>
      <c r="B128" s="48" t="s">
        <v>473</v>
      </c>
      <c r="C128" s="127" t="s">
        <v>107</v>
      </c>
      <c r="D128" s="127">
        <v>60</v>
      </c>
      <c r="E128" s="127">
        <v>1.7299999999999999E-2</v>
      </c>
      <c r="F128" s="227">
        <f>VLOOKUP(DUNGCU[[#This Row],[Danh mục dụng cụ]],Table1[[TÊN VẬT TƯ]:[ĐƠN GIÁ
 (Chưa VAT)]],3,0)</f>
        <v>13350000</v>
      </c>
      <c r="G128" s="228">
        <f t="shared" si="26"/>
        <v>8557.6923076923085</v>
      </c>
      <c r="H128" s="228">
        <f t="shared" si="27"/>
        <v>148.04807692307693</v>
      </c>
      <c r="I128" s="393"/>
      <c r="J128" s="26"/>
    </row>
    <row r="129" spans="1:9" ht="15.75" x14ac:dyDescent="0.25">
      <c r="A129" s="79" t="s">
        <v>89</v>
      </c>
      <c r="B129" s="48" t="s">
        <v>201</v>
      </c>
      <c r="C129" s="127" t="s">
        <v>107</v>
      </c>
      <c r="D129" s="127">
        <v>96</v>
      </c>
      <c r="E129" s="127">
        <v>0.27679999999999999</v>
      </c>
      <c r="F129" s="227">
        <f>VLOOKUP(DUNGCU[[#This Row],[Danh mục dụng cụ]],Table1[[TÊN VẬT TƯ]:[ĐƠN GIÁ
 (Chưa VAT)]],3,0)</f>
        <v>690000</v>
      </c>
      <c r="G129" s="228">
        <f t="shared" si="26"/>
        <v>276.44230769230768</v>
      </c>
      <c r="H129" s="228">
        <f t="shared" si="27"/>
        <v>76.519230769230759</v>
      </c>
      <c r="I129" s="393"/>
    </row>
    <row r="130" spans="1:9" ht="15.75" x14ac:dyDescent="0.25">
      <c r="A130" s="79" t="s">
        <v>89</v>
      </c>
      <c r="B130" s="48" t="s">
        <v>202</v>
      </c>
      <c r="C130" s="127" t="s">
        <v>107</v>
      </c>
      <c r="D130" s="127">
        <v>96</v>
      </c>
      <c r="E130" s="127">
        <v>0.27679999999999999</v>
      </c>
      <c r="F130" s="227">
        <f>VLOOKUP(DUNGCU[[#This Row],[Danh mục dụng cụ]],Table1[[TÊN VẬT TƯ]:[ĐƠN GIÁ
 (Chưa VAT)]],3,0)</f>
        <v>1665000</v>
      </c>
      <c r="G130" s="228">
        <f t="shared" si="26"/>
        <v>667.06730769230774</v>
      </c>
      <c r="H130" s="228">
        <f t="shared" si="27"/>
        <v>184.64423076923077</v>
      </c>
      <c r="I130" s="393"/>
    </row>
    <row r="131" spans="1:9" ht="15.75" x14ac:dyDescent="0.25">
      <c r="A131" s="77" t="s">
        <v>135</v>
      </c>
      <c r="B131" s="251" t="s">
        <v>39</v>
      </c>
      <c r="C131" s="47" t="s">
        <v>248</v>
      </c>
      <c r="D131" s="47"/>
      <c r="E131" s="47"/>
      <c r="F131" s="256"/>
      <c r="G131" s="257"/>
      <c r="H131" s="257">
        <f>SUM(H132:H137)</f>
        <v>493.17044102564103</v>
      </c>
      <c r="I131" s="392" t="s">
        <v>252</v>
      </c>
    </row>
    <row r="132" spans="1:9" ht="15.75" x14ac:dyDescent="0.25">
      <c r="A132" s="79" t="s">
        <v>89</v>
      </c>
      <c r="B132" s="48" t="s">
        <v>239</v>
      </c>
      <c r="C132" s="127" t="s">
        <v>200</v>
      </c>
      <c r="D132" s="127">
        <v>12</v>
      </c>
      <c r="E132" s="127">
        <v>0.27679999999999999</v>
      </c>
      <c r="F132" s="227">
        <f>VLOOKUP(DUNGCU[[#This Row],[Danh mục dụng cụ]],Table1[[TÊN VẬT TƯ]:[ĐƠN GIÁ
 (Chưa VAT)]],3,0)</f>
        <v>135000</v>
      </c>
      <c r="G132" s="228">
        <f t="shared" ref="G132:G137" si="28">F132/D132/26</f>
        <v>432.69230769230768</v>
      </c>
      <c r="H132" s="228">
        <f t="shared" ref="H132:H137" si="29">G132*E132</f>
        <v>119.76923076923076</v>
      </c>
      <c r="I132" s="393"/>
    </row>
    <row r="133" spans="1:9" ht="15.75" x14ac:dyDescent="0.25">
      <c r="A133" s="79" t="s">
        <v>89</v>
      </c>
      <c r="B133" s="48" t="s">
        <v>198</v>
      </c>
      <c r="C133" s="127" t="s">
        <v>107</v>
      </c>
      <c r="D133" s="127">
        <v>60</v>
      </c>
      <c r="E133" s="127">
        <v>4.6399999999999997E-2</v>
      </c>
      <c r="F133" s="227">
        <f>VLOOKUP(DUNGCU[[#This Row],[Danh mục dụng cụ]],Table1[[TÊN VẬT TƯ]:[ĐƠN GIÁ
 (Chưa VAT)]],3,0)</f>
        <v>2454545</v>
      </c>
      <c r="G133" s="228">
        <f t="shared" si="28"/>
        <v>1573.4262820512822</v>
      </c>
      <c r="H133" s="228">
        <f t="shared" si="29"/>
        <v>73.006979487179493</v>
      </c>
      <c r="I133" s="393"/>
    </row>
    <row r="134" spans="1:9" ht="15.75" x14ac:dyDescent="0.25">
      <c r="A134" s="79" t="s">
        <v>89</v>
      </c>
      <c r="B134" s="48" t="s">
        <v>263</v>
      </c>
      <c r="C134" s="127" t="s">
        <v>107</v>
      </c>
      <c r="D134" s="127">
        <v>60</v>
      </c>
      <c r="E134" s="127">
        <v>4.6399999999999997E-2</v>
      </c>
      <c r="F134" s="227">
        <f>VLOOKUP(DUNGCU[[#This Row],[Danh mục dụng cụ]],Table1[[TÊN VẬT TƯ]:[ĐƠN GIÁ
 (Chưa VAT)]],3,0)</f>
        <v>275000</v>
      </c>
      <c r="G134" s="228">
        <f t="shared" si="28"/>
        <v>176.28205128205127</v>
      </c>
      <c r="H134" s="228">
        <f t="shared" si="29"/>
        <v>8.1794871794871788</v>
      </c>
      <c r="I134" s="393"/>
    </row>
    <row r="135" spans="1:9" ht="15.75" x14ac:dyDescent="0.25">
      <c r="A135" s="79" t="s">
        <v>89</v>
      </c>
      <c r="B135" s="48" t="s">
        <v>199</v>
      </c>
      <c r="C135" s="127" t="s">
        <v>200</v>
      </c>
      <c r="D135" s="127">
        <v>36</v>
      </c>
      <c r="E135" s="127">
        <v>0.27679999999999999</v>
      </c>
      <c r="F135" s="227">
        <f>VLOOKUP(DUNGCU[[#This Row],[Danh mục dụng cụ]],Table1[[TÊN VẬT TƯ]:[ĐƠN GIÁ
 (Chưa VAT)]],3,0)</f>
        <v>105000</v>
      </c>
      <c r="G135" s="228">
        <f t="shared" si="28"/>
        <v>112.17948717948717</v>
      </c>
      <c r="H135" s="228">
        <f t="shared" si="29"/>
        <v>31.051282051282048</v>
      </c>
      <c r="I135" s="393"/>
    </row>
    <row r="136" spans="1:9" ht="15.75" x14ac:dyDescent="0.25">
      <c r="A136" s="79" t="s">
        <v>89</v>
      </c>
      <c r="B136" s="48" t="s">
        <v>201</v>
      </c>
      <c r="C136" s="127" t="s">
        <v>107</v>
      </c>
      <c r="D136" s="127">
        <v>96</v>
      </c>
      <c r="E136" s="127">
        <v>0.27679999999999999</v>
      </c>
      <c r="F136" s="227">
        <f>VLOOKUP(DUNGCU[[#This Row],[Danh mục dụng cụ]],Table1[[TÊN VẬT TƯ]:[ĐƠN GIÁ
 (Chưa VAT)]],3,0)</f>
        <v>690000</v>
      </c>
      <c r="G136" s="228">
        <f t="shared" si="28"/>
        <v>276.44230769230768</v>
      </c>
      <c r="H136" s="228">
        <f t="shared" si="29"/>
        <v>76.519230769230759</v>
      </c>
      <c r="I136" s="393"/>
    </row>
    <row r="137" spans="1:9" ht="15.75" x14ac:dyDescent="0.25">
      <c r="A137" s="79" t="s">
        <v>89</v>
      </c>
      <c r="B137" s="48" t="s">
        <v>202</v>
      </c>
      <c r="C137" s="127" t="s">
        <v>107</v>
      </c>
      <c r="D137" s="127">
        <v>96</v>
      </c>
      <c r="E137" s="127">
        <v>0.27679999999999999</v>
      </c>
      <c r="F137" s="227">
        <f>VLOOKUP(DUNGCU[[#This Row],[Danh mục dụng cụ]],Table1[[TÊN VẬT TƯ]:[ĐƠN GIÁ
 (Chưa VAT)]],3,0)</f>
        <v>1665000</v>
      </c>
      <c r="G137" s="228">
        <f t="shared" si="28"/>
        <v>667.06730769230774</v>
      </c>
      <c r="H137" s="228">
        <f t="shared" si="29"/>
        <v>184.64423076923077</v>
      </c>
      <c r="I137" s="393"/>
    </row>
    <row r="138" spans="1:9" ht="31.5" x14ac:dyDescent="0.25">
      <c r="A138" s="77" t="s">
        <v>136</v>
      </c>
      <c r="B138" s="251" t="s">
        <v>40</v>
      </c>
      <c r="C138" s="47" t="s">
        <v>248</v>
      </c>
      <c r="D138" s="47"/>
      <c r="E138" s="47"/>
      <c r="F138" s="256"/>
      <c r="G138" s="257"/>
      <c r="H138" s="257">
        <f>SUM(H139:H145)</f>
        <v>1481.958876923077</v>
      </c>
      <c r="I138" s="392" t="s">
        <v>252</v>
      </c>
    </row>
    <row r="139" spans="1:9" ht="15.75" x14ac:dyDescent="0.25">
      <c r="A139" s="79" t="s">
        <v>89</v>
      </c>
      <c r="B139" s="48" t="s">
        <v>239</v>
      </c>
      <c r="C139" s="127" t="s">
        <v>200</v>
      </c>
      <c r="D139" s="127">
        <v>12</v>
      </c>
      <c r="E139" s="127">
        <v>0.83040000000000003</v>
      </c>
      <c r="F139" s="227">
        <f>VLOOKUP(DUNGCU[[#This Row],[Danh mục dụng cụ]],Table1[[TÊN VẬT TƯ]:[ĐƠN GIÁ
 (Chưa VAT)]],3,0)</f>
        <v>135000</v>
      </c>
      <c r="G139" s="228">
        <f t="shared" ref="G139:G145" si="30">F139/D139/26</f>
        <v>432.69230769230768</v>
      </c>
      <c r="H139" s="228">
        <f t="shared" ref="H139:H145" si="31">G139*E139</f>
        <v>359.30769230769232</v>
      </c>
      <c r="I139" s="393"/>
    </row>
    <row r="140" spans="1:9" ht="15.75" x14ac:dyDescent="0.25">
      <c r="A140" s="79" t="s">
        <v>89</v>
      </c>
      <c r="B140" s="48" t="s">
        <v>198</v>
      </c>
      <c r="C140" s="127" t="s">
        <v>107</v>
      </c>
      <c r="D140" s="127">
        <v>60</v>
      </c>
      <c r="E140" s="127">
        <v>0.13919999999999999</v>
      </c>
      <c r="F140" s="227">
        <f>VLOOKUP(DUNGCU[[#This Row],[Danh mục dụng cụ]],Table1[[TÊN VẬT TƯ]:[ĐƠN GIÁ
 (Chưa VAT)]],3,0)</f>
        <v>2454545</v>
      </c>
      <c r="G140" s="228">
        <f t="shared" si="30"/>
        <v>1573.4262820512822</v>
      </c>
      <c r="H140" s="228">
        <f t="shared" si="31"/>
        <v>219.02093846153846</v>
      </c>
      <c r="I140" s="393"/>
    </row>
    <row r="141" spans="1:9" ht="15.75" x14ac:dyDescent="0.25">
      <c r="A141" s="79" t="s">
        <v>89</v>
      </c>
      <c r="B141" s="48" t="s">
        <v>263</v>
      </c>
      <c r="C141" s="127" t="s">
        <v>107</v>
      </c>
      <c r="D141" s="127">
        <v>60</v>
      </c>
      <c r="E141" s="127">
        <v>0.13919999999999999</v>
      </c>
      <c r="F141" s="227">
        <f>VLOOKUP(DUNGCU[[#This Row],[Danh mục dụng cụ]],Table1[[TÊN VẬT TƯ]:[ĐƠN GIÁ
 (Chưa VAT)]],3,0)</f>
        <v>275000</v>
      </c>
      <c r="G141" s="228">
        <f t="shared" si="30"/>
        <v>176.28205128205127</v>
      </c>
      <c r="H141" s="228">
        <f t="shared" si="31"/>
        <v>24.538461538461537</v>
      </c>
      <c r="I141" s="393"/>
    </row>
    <row r="142" spans="1:9" ht="15.75" x14ac:dyDescent="0.25">
      <c r="A142" s="79" t="s">
        <v>89</v>
      </c>
      <c r="B142" s="48" t="s">
        <v>199</v>
      </c>
      <c r="C142" s="127" t="s">
        <v>200</v>
      </c>
      <c r="D142" s="127">
        <v>36</v>
      </c>
      <c r="E142" s="127">
        <v>0.83040000000000003</v>
      </c>
      <c r="F142" s="227">
        <f>VLOOKUP(DUNGCU[[#This Row],[Danh mục dụng cụ]],Table1[[TÊN VẬT TƯ]:[ĐƠN GIÁ
 (Chưa VAT)]],3,0)</f>
        <v>105000</v>
      </c>
      <c r="G142" s="228">
        <f t="shared" si="30"/>
        <v>112.17948717948717</v>
      </c>
      <c r="H142" s="228">
        <f t="shared" si="31"/>
        <v>93.153846153846146</v>
      </c>
      <c r="I142" s="393"/>
    </row>
    <row r="143" spans="1:9" ht="15.75" x14ac:dyDescent="0.25">
      <c r="A143" s="79" t="s">
        <v>89</v>
      </c>
      <c r="B143" s="48" t="s">
        <v>201</v>
      </c>
      <c r="C143" s="127" t="s">
        <v>107</v>
      </c>
      <c r="D143" s="127">
        <v>96</v>
      </c>
      <c r="E143" s="127">
        <v>0.83040000000000003</v>
      </c>
      <c r="F143" s="227">
        <f>VLOOKUP(DUNGCU[[#This Row],[Danh mục dụng cụ]],Table1[[TÊN VẬT TƯ]:[ĐƠN GIÁ
 (Chưa VAT)]],3,0)</f>
        <v>690000</v>
      </c>
      <c r="G143" s="228">
        <f t="shared" si="30"/>
        <v>276.44230769230768</v>
      </c>
      <c r="H143" s="228">
        <f t="shared" si="31"/>
        <v>229.55769230769229</v>
      </c>
      <c r="I143" s="393"/>
    </row>
    <row r="144" spans="1:9" ht="15.75" x14ac:dyDescent="0.25">
      <c r="A144" s="79" t="s">
        <v>89</v>
      </c>
      <c r="B144" s="48" t="s">
        <v>202</v>
      </c>
      <c r="C144" s="127" t="s">
        <v>107</v>
      </c>
      <c r="D144" s="127">
        <v>96</v>
      </c>
      <c r="E144" s="127">
        <v>0.83040000000000003</v>
      </c>
      <c r="F144" s="227">
        <f>VLOOKUP(DUNGCU[[#This Row],[Danh mục dụng cụ]],Table1[[TÊN VẬT TƯ]:[ĐƠN GIÁ
 (Chưa VAT)]],3,0)</f>
        <v>1665000</v>
      </c>
      <c r="G144" s="228">
        <f t="shared" si="30"/>
        <v>667.06730769230774</v>
      </c>
      <c r="H144" s="228">
        <f t="shared" si="31"/>
        <v>553.93269230769238</v>
      </c>
      <c r="I144" s="393"/>
    </row>
    <row r="145" spans="1:9" ht="15.75" x14ac:dyDescent="0.25">
      <c r="A145" s="79" t="s">
        <v>89</v>
      </c>
      <c r="B145" s="48" t="s">
        <v>242</v>
      </c>
      <c r="C145" s="127" t="s">
        <v>107</v>
      </c>
      <c r="D145" s="127">
        <v>60</v>
      </c>
      <c r="E145" s="127">
        <v>6.0000000000000001E-3</v>
      </c>
      <c r="F145" s="227">
        <f>VLOOKUP(DUNGCU[[#This Row],[Danh mục dụng cụ]],Table1[[TÊN VẬT TƯ]:[ĐƠN GIÁ
 (Chưa VAT)]],3,0)</f>
        <v>636364</v>
      </c>
      <c r="G145" s="228">
        <f t="shared" si="30"/>
        <v>407.92564102564108</v>
      </c>
      <c r="H145" s="228">
        <f t="shared" si="31"/>
        <v>2.4475538461538466</v>
      </c>
      <c r="I145" s="393"/>
    </row>
    <row r="146" spans="1:9" ht="31.5" x14ac:dyDescent="0.25">
      <c r="A146" s="77" t="s">
        <v>137</v>
      </c>
      <c r="B146" s="251" t="s">
        <v>41</v>
      </c>
      <c r="C146" s="47" t="s">
        <v>248</v>
      </c>
      <c r="D146" s="47"/>
      <c r="E146" s="47"/>
      <c r="F146" s="256"/>
      <c r="G146" s="257"/>
      <c r="H146" s="257">
        <f>SUM(H147:H151)</f>
        <v>1120.2036307692308</v>
      </c>
      <c r="I146" s="392" t="s">
        <v>252</v>
      </c>
    </row>
    <row r="147" spans="1:9" ht="15.75" x14ac:dyDescent="0.25">
      <c r="A147" s="79" t="s">
        <v>89</v>
      </c>
      <c r="B147" s="48" t="s">
        <v>198</v>
      </c>
      <c r="C147" s="127" t="s">
        <v>107</v>
      </c>
      <c r="D147" s="127">
        <v>60</v>
      </c>
      <c r="E147" s="127">
        <v>0.13919999999999999</v>
      </c>
      <c r="F147" s="227">
        <f>VLOOKUP(DUNGCU[[#This Row],[Danh mục dụng cụ]],Table1[[TÊN VẬT TƯ]:[ĐƠN GIÁ
 (Chưa VAT)]],3,0)</f>
        <v>2454545</v>
      </c>
      <c r="G147" s="228">
        <f t="shared" ref="G147:G151" si="32">F147/D147/26</f>
        <v>1573.4262820512822</v>
      </c>
      <c r="H147" s="228">
        <f t="shared" ref="H147:H151" si="33">G147*E147</f>
        <v>219.02093846153846</v>
      </c>
      <c r="I147" s="393"/>
    </row>
    <row r="148" spans="1:9" ht="15.75" x14ac:dyDescent="0.25">
      <c r="A148" s="79" t="s">
        <v>89</v>
      </c>
      <c r="B148" s="48" t="s">
        <v>263</v>
      </c>
      <c r="C148" s="127" t="s">
        <v>107</v>
      </c>
      <c r="D148" s="127">
        <v>60</v>
      </c>
      <c r="E148" s="127">
        <v>0.13919999999999999</v>
      </c>
      <c r="F148" s="227">
        <f>VLOOKUP(DUNGCU[[#This Row],[Danh mục dụng cụ]],Table1[[TÊN VẬT TƯ]:[ĐƠN GIÁ
 (Chưa VAT)]],3,0)</f>
        <v>275000</v>
      </c>
      <c r="G148" s="228">
        <f t="shared" si="32"/>
        <v>176.28205128205127</v>
      </c>
      <c r="H148" s="228">
        <f t="shared" si="33"/>
        <v>24.538461538461537</v>
      </c>
      <c r="I148" s="393"/>
    </row>
    <row r="149" spans="1:9" ht="15.75" x14ac:dyDescent="0.25">
      <c r="A149" s="79" t="s">
        <v>89</v>
      </c>
      <c r="B149" s="48" t="s">
        <v>199</v>
      </c>
      <c r="C149" s="127" t="s">
        <v>200</v>
      </c>
      <c r="D149" s="127">
        <v>36</v>
      </c>
      <c r="E149" s="127">
        <v>0.83040000000000003</v>
      </c>
      <c r="F149" s="227">
        <f>VLOOKUP(DUNGCU[[#This Row],[Danh mục dụng cụ]],Table1[[TÊN VẬT TƯ]:[ĐƠN GIÁ
 (Chưa VAT)]],3,0)</f>
        <v>105000</v>
      </c>
      <c r="G149" s="228">
        <f t="shared" si="32"/>
        <v>112.17948717948717</v>
      </c>
      <c r="H149" s="228">
        <f t="shared" si="33"/>
        <v>93.153846153846146</v>
      </c>
      <c r="I149" s="393"/>
    </row>
    <row r="150" spans="1:9" ht="15.75" x14ac:dyDescent="0.25">
      <c r="A150" s="79" t="s">
        <v>89</v>
      </c>
      <c r="B150" s="48" t="s">
        <v>201</v>
      </c>
      <c r="C150" s="127" t="s">
        <v>107</v>
      </c>
      <c r="D150" s="127">
        <v>96</v>
      </c>
      <c r="E150" s="127">
        <v>0.83040000000000003</v>
      </c>
      <c r="F150" s="227">
        <f>VLOOKUP(DUNGCU[[#This Row],[Danh mục dụng cụ]],Table1[[TÊN VẬT TƯ]:[ĐƠN GIÁ
 (Chưa VAT)]],3,0)</f>
        <v>690000</v>
      </c>
      <c r="G150" s="228">
        <f t="shared" si="32"/>
        <v>276.44230769230768</v>
      </c>
      <c r="H150" s="228">
        <f t="shared" si="33"/>
        <v>229.55769230769229</v>
      </c>
      <c r="I150" s="393"/>
    </row>
    <row r="151" spans="1:9" ht="15.75" x14ac:dyDescent="0.25">
      <c r="A151" s="79" t="s">
        <v>89</v>
      </c>
      <c r="B151" s="48" t="s">
        <v>202</v>
      </c>
      <c r="C151" s="127" t="s">
        <v>107</v>
      </c>
      <c r="D151" s="127">
        <v>96</v>
      </c>
      <c r="E151" s="127">
        <v>0.83040000000000003</v>
      </c>
      <c r="F151" s="227">
        <f>VLOOKUP(DUNGCU[[#This Row],[Danh mục dụng cụ]],Table1[[TÊN VẬT TƯ]:[ĐƠN GIÁ
 (Chưa VAT)]],3,0)</f>
        <v>1665000</v>
      </c>
      <c r="G151" s="228">
        <f t="shared" si="32"/>
        <v>667.06730769230774</v>
      </c>
      <c r="H151" s="228">
        <f t="shared" si="33"/>
        <v>553.93269230769238</v>
      </c>
      <c r="I151" s="393"/>
    </row>
    <row r="152" spans="1:9" ht="30" x14ac:dyDescent="0.25">
      <c r="A152" s="204"/>
      <c r="B152" s="278" t="s">
        <v>499</v>
      </c>
      <c r="C152" s="223"/>
      <c r="D152" s="223"/>
      <c r="E152" s="223"/>
      <c r="F152" s="263"/>
      <c r="G152" s="264"/>
      <c r="H152" s="326">
        <f>SUM(H153:H165)</f>
        <v>48146.705585564108</v>
      </c>
      <c r="I152" s="398" t="s">
        <v>503</v>
      </c>
    </row>
    <row r="153" spans="1:9" ht="31.5" x14ac:dyDescent="0.25">
      <c r="A153" s="47" t="s">
        <v>125</v>
      </c>
      <c r="B153" s="251" t="s">
        <v>29</v>
      </c>
      <c r="C153" s="47" t="s">
        <v>248</v>
      </c>
      <c r="D153" s="127"/>
      <c r="E153" s="127"/>
      <c r="F153" s="227"/>
      <c r="G153" s="228"/>
      <c r="H153" s="257">
        <f>VLOOKUP(DUNGCU[[#This Row],[TT]],$A$58:$H$151,8,0)*1.1</f>
        <v>1084.9749702564104</v>
      </c>
      <c r="I153" s="393"/>
    </row>
    <row r="154" spans="1:9" ht="31.5" x14ac:dyDescent="0.25">
      <c r="A154" s="47" t="s">
        <v>126</v>
      </c>
      <c r="B154" s="251" t="s">
        <v>30</v>
      </c>
      <c r="C154" s="47" t="s">
        <v>248</v>
      </c>
      <c r="D154" s="127"/>
      <c r="E154" s="127"/>
      <c r="F154" s="227"/>
      <c r="G154" s="228"/>
      <c r="H154" s="257">
        <f>VLOOKUP(DUNGCU[[#This Row],[TT]],$A$58:$H$151,8,0)*1.1</f>
        <v>634.00016251282057</v>
      </c>
      <c r="I154" s="393"/>
    </row>
    <row r="155" spans="1:9" ht="15.75" x14ac:dyDescent="0.25">
      <c r="A155" s="47" t="s">
        <v>127</v>
      </c>
      <c r="B155" s="251" t="s">
        <v>31</v>
      </c>
      <c r="C155" s="47" t="s">
        <v>248</v>
      </c>
      <c r="D155" s="127"/>
      <c r="E155" s="127"/>
      <c r="F155" s="227"/>
      <c r="G155" s="228"/>
      <c r="H155" s="257">
        <f>VLOOKUP(DUNGCU[[#This Row],[TT]],$A$58:$H$151,8,0)*1.1</f>
        <v>1627.4624553846156</v>
      </c>
      <c r="I155" s="393"/>
    </row>
    <row r="156" spans="1:9" ht="15.75" x14ac:dyDescent="0.25">
      <c r="A156" s="47" t="s">
        <v>128</v>
      </c>
      <c r="B156" s="251" t="s">
        <v>32</v>
      </c>
      <c r="C156" s="47" t="s">
        <v>248</v>
      </c>
      <c r="D156" s="127"/>
      <c r="E156" s="127"/>
      <c r="F156" s="227"/>
      <c r="G156" s="228"/>
      <c r="H156" s="257">
        <f>VLOOKUP(DUNGCU[[#This Row],[TT]],$A$58:$H$151,8,0)*1.1</f>
        <v>9764.7747323076946</v>
      </c>
      <c r="I156" s="393"/>
    </row>
    <row r="157" spans="1:9" ht="15.75" x14ac:dyDescent="0.25">
      <c r="A157" s="47" t="s">
        <v>129</v>
      </c>
      <c r="B157" s="251" t="s">
        <v>33</v>
      </c>
      <c r="C157" s="47" t="s">
        <v>248</v>
      </c>
      <c r="D157" s="127"/>
      <c r="E157" s="127"/>
      <c r="F157" s="227"/>
      <c r="G157" s="228"/>
      <c r="H157" s="257">
        <f>VLOOKUP(DUNGCU[[#This Row],[TT]],$A$58:$H$151,8,0)*1.1</f>
        <v>7594.8247917948729</v>
      </c>
      <c r="I157" s="393"/>
    </row>
    <row r="158" spans="1:9" ht="15.75" x14ac:dyDescent="0.25">
      <c r="A158" s="47" t="s">
        <v>130</v>
      </c>
      <c r="B158" s="251" t="s">
        <v>34</v>
      </c>
      <c r="C158" s="47" t="s">
        <v>248</v>
      </c>
      <c r="D158" s="127"/>
      <c r="E158" s="127"/>
      <c r="F158" s="227"/>
      <c r="G158" s="228"/>
      <c r="H158" s="257">
        <f>VLOOKUP(DUNGCU[[#This Row],[TT]],$A$58:$H$151,8,0)*1.1</f>
        <v>5424.8748512820521</v>
      </c>
      <c r="I158" s="393"/>
    </row>
    <row r="159" spans="1:9" ht="31.5" x14ac:dyDescent="0.25">
      <c r="A159" s="47" t="s">
        <v>131</v>
      </c>
      <c r="B159" s="251" t="s">
        <v>35</v>
      </c>
      <c r="C159" s="47" t="s">
        <v>248</v>
      </c>
      <c r="D159" s="127"/>
      <c r="E159" s="127"/>
      <c r="F159" s="227"/>
      <c r="G159" s="228"/>
      <c r="H159" s="257">
        <f>VLOOKUP(DUNGCU[[#This Row],[TT]],$A$58:$H$151,8,0)*1.1</f>
        <v>1084.9749702564104</v>
      </c>
      <c r="I159" s="393"/>
    </row>
    <row r="160" spans="1:9" ht="15.75" x14ac:dyDescent="0.25">
      <c r="A160" s="47" t="s">
        <v>132</v>
      </c>
      <c r="B160" s="251" t="s">
        <v>36</v>
      </c>
      <c r="C160" s="47" t="s">
        <v>248</v>
      </c>
      <c r="D160" s="127"/>
      <c r="E160" s="127"/>
      <c r="F160" s="227"/>
      <c r="G160" s="228"/>
      <c r="H160" s="257">
        <f>VLOOKUP(DUNGCU[[#This Row],[TT]],$A$58:$H$151,8,0)*1.1</f>
        <v>14104.674613333333</v>
      </c>
      <c r="I160" s="393"/>
    </row>
    <row r="161" spans="1:9" ht="37.5" customHeight="1" x14ac:dyDescent="0.25">
      <c r="A161" s="47" t="s">
        <v>133</v>
      </c>
      <c r="B161" s="251" t="s">
        <v>37</v>
      </c>
      <c r="C161" s="47" t="s">
        <v>248</v>
      </c>
      <c r="D161" s="127"/>
      <c r="E161" s="127"/>
      <c r="F161" s="227"/>
      <c r="G161" s="228"/>
      <c r="H161" s="257">
        <f>VLOOKUP(DUNGCU[[#This Row],[TT]],$A$58:$H$151,8,0)*1.1</f>
        <v>2712.437425641026</v>
      </c>
      <c r="I161" s="393"/>
    </row>
    <row r="162" spans="1:9" ht="31.5" x14ac:dyDescent="0.25">
      <c r="A162" s="47" t="s">
        <v>134</v>
      </c>
      <c r="B162" s="251" t="s">
        <v>38</v>
      </c>
      <c r="C162" s="47" t="s">
        <v>248</v>
      </c>
      <c r="D162" s="127"/>
      <c r="E162" s="127"/>
      <c r="F162" s="227"/>
      <c r="G162" s="228"/>
      <c r="H162" s="257">
        <f>VLOOKUP(DUNGCU[[#This Row],[TT]],$A$58:$H$151,8,0)*1.1</f>
        <v>708.84036920512824</v>
      </c>
      <c r="I162" s="393"/>
    </row>
    <row r="163" spans="1:9" ht="15.75" x14ac:dyDescent="0.25">
      <c r="A163" s="47" t="s">
        <v>135</v>
      </c>
      <c r="B163" s="251" t="s">
        <v>39</v>
      </c>
      <c r="C163" s="47" t="s">
        <v>248</v>
      </c>
      <c r="D163" s="127"/>
      <c r="E163" s="127"/>
      <c r="F163" s="227"/>
      <c r="G163" s="228"/>
      <c r="H163" s="257">
        <f>VLOOKUP(DUNGCU[[#This Row],[TT]],$A$58:$H$151,8,0)*1.1</f>
        <v>542.48748512820521</v>
      </c>
      <c r="I163" s="393"/>
    </row>
    <row r="164" spans="1:9" ht="31.5" x14ac:dyDescent="0.25">
      <c r="A164" s="47" t="s">
        <v>136</v>
      </c>
      <c r="B164" s="251" t="s">
        <v>40</v>
      </c>
      <c r="C164" s="47" t="s">
        <v>248</v>
      </c>
      <c r="D164" s="127"/>
      <c r="E164" s="127"/>
      <c r="F164" s="227"/>
      <c r="G164" s="228"/>
      <c r="H164" s="257">
        <f>VLOOKUP(DUNGCU[[#This Row],[TT]],$A$58:$H$151,8,0)*1.1</f>
        <v>1630.1547646153849</v>
      </c>
      <c r="I164" s="393"/>
    </row>
    <row r="165" spans="1:9" ht="31.5" x14ac:dyDescent="0.25">
      <c r="A165" s="47" t="s">
        <v>137</v>
      </c>
      <c r="B165" s="251" t="s">
        <v>41</v>
      </c>
      <c r="C165" s="47" t="s">
        <v>248</v>
      </c>
      <c r="D165" s="127"/>
      <c r="E165" s="127"/>
      <c r="F165" s="227"/>
      <c r="G165" s="228"/>
      <c r="H165" s="257">
        <f>VLOOKUP(DUNGCU[[#This Row],[TT]],$A$58:$H$151,8,0)*1.1</f>
        <v>1232.2239938461539</v>
      </c>
      <c r="I165" s="393"/>
    </row>
    <row r="166" spans="1:9" ht="15.75" x14ac:dyDescent="0.25">
      <c r="A166" s="78" t="s">
        <v>138</v>
      </c>
      <c r="B166" s="143" t="s">
        <v>42</v>
      </c>
      <c r="C166" s="127"/>
      <c r="D166" s="127"/>
      <c r="E166" s="127"/>
      <c r="F166" s="227"/>
      <c r="G166" s="228"/>
      <c r="H166" s="228">
        <f>H167+H174+H180+H181+H189</f>
        <v>521.73036923076927</v>
      </c>
      <c r="I166" s="393"/>
    </row>
    <row r="167" spans="1:9" ht="15.75" x14ac:dyDescent="0.25">
      <c r="A167" s="77" t="s">
        <v>139</v>
      </c>
      <c r="B167" s="251" t="s">
        <v>43</v>
      </c>
      <c r="C167" s="47" t="s">
        <v>265</v>
      </c>
      <c r="D167" s="47"/>
      <c r="E167" s="47"/>
      <c r="F167" s="256"/>
      <c r="G167" s="257"/>
      <c r="H167" s="257">
        <f>SUM(H168:H173)</f>
        <v>59.614836538461546</v>
      </c>
      <c r="I167" s="393"/>
    </row>
    <row r="168" spans="1:9" ht="15.75" x14ac:dyDescent="0.25">
      <c r="A168" s="79" t="s">
        <v>89</v>
      </c>
      <c r="B168" s="48" t="s">
        <v>239</v>
      </c>
      <c r="C168" s="127" t="s">
        <v>200</v>
      </c>
      <c r="D168" s="127">
        <v>12</v>
      </c>
      <c r="E168" s="127">
        <v>3.3000000000000002E-2</v>
      </c>
      <c r="F168" s="227">
        <f>VLOOKUP(DUNGCU[[#This Row],[Danh mục dụng cụ]],Table1[[TÊN VẬT TƯ]:[ĐƠN GIÁ
 (Chưa VAT)]],3,0)</f>
        <v>135000</v>
      </c>
      <c r="G168" s="228">
        <f t="shared" ref="G168:G173" si="34">F168/D168/26</f>
        <v>432.69230769230768</v>
      </c>
      <c r="H168" s="228">
        <f t="shared" ref="H168:H173" si="35">G168*E168</f>
        <v>14.278846153846153</v>
      </c>
      <c r="I168" s="393"/>
    </row>
    <row r="169" spans="1:9" ht="15.75" x14ac:dyDescent="0.25">
      <c r="A169" s="79" t="s">
        <v>89</v>
      </c>
      <c r="B169" s="48" t="s">
        <v>198</v>
      </c>
      <c r="C169" s="127" t="s">
        <v>107</v>
      </c>
      <c r="D169" s="127">
        <v>60</v>
      </c>
      <c r="E169" s="127">
        <v>6.0000000000000001E-3</v>
      </c>
      <c r="F169" s="227">
        <f>VLOOKUP(DUNGCU[[#This Row],[Danh mục dụng cụ]],Table1[[TÊN VẬT TƯ]:[ĐƠN GIÁ
 (Chưa VAT)]],3,0)</f>
        <v>2454545</v>
      </c>
      <c r="G169" s="228">
        <f t="shared" si="34"/>
        <v>1573.4262820512822</v>
      </c>
      <c r="H169" s="228">
        <f t="shared" si="35"/>
        <v>9.4405576923076939</v>
      </c>
      <c r="I169" s="393"/>
    </row>
    <row r="170" spans="1:9" ht="15.75" x14ac:dyDescent="0.25">
      <c r="A170" s="79" t="s">
        <v>89</v>
      </c>
      <c r="B170" s="48" t="s">
        <v>263</v>
      </c>
      <c r="C170" s="127" t="s">
        <v>107</v>
      </c>
      <c r="D170" s="127">
        <v>60</v>
      </c>
      <c r="E170" s="127">
        <v>6.0000000000000001E-3</v>
      </c>
      <c r="F170" s="227">
        <f>VLOOKUP(DUNGCU[[#This Row],[Danh mục dụng cụ]],Table1[[TÊN VẬT TƯ]:[ĐƠN GIÁ
 (Chưa VAT)]],3,0)</f>
        <v>275000</v>
      </c>
      <c r="G170" s="228">
        <f t="shared" si="34"/>
        <v>176.28205128205127</v>
      </c>
      <c r="H170" s="228">
        <f t="shared" si="35"/>
        <v>1.0576923076923077</v>
      </c>
      <c r="I170" s="393"/>
    </row>
    <row r="171" spans="1:9" ht="15.75" x14ac:dyDescent="0.25">
      <c r="A171" s="79" t="s">
        <v>89</v>
      </c>
      <c r="B171" s="48" t="s">
        <v>199</v>
      </c>
      <c r="C171" s="127" t="s">
        <v>200</v>
      </c>
      <c r="D171" s="127">
        <v>36</v>
      </c>
      <c r="E171" s="127">
        <v>3.3000000000000002E-2</v>
      </c>
      <c r="F171" s="227">
        <f>VLOOKUP(DUNGCU[[#This Row],[Danh mục dụng cụ]],Table1[[TÊN VẬT TƯ]:[ĐƠN GIÁ
 (Chưa VAT)]],3,0)</f>
        <v>105000</v>
      </c>
      <c r="G171" s="228">
        <f t="shared" si="34"/>
        <v>112.17948717948717</v>
      </c>
      <c r="H171" s="228">
        <f t="shared" si="35"/>
        <v>3.7019230769230766</v>
      </c>
      <c r="I171" s="393"/>
    </row>
    <row r="172" spans="1:9" ht="15.75" x14ac:dyDescent="0.25">
      <c r="A172" s="79" t="s">
        <v>89</v>
      </c>
      <c r="B172" s="48" t="s">
        <v>201</v>
      </c>
      <c r="C172" s="127" t="s">
        <v>107</v>
      </c>
      <c r="D172" s="127">
        <v>96</v>
      </c>
      <c r="E172" s="127">
        <v>3.3000000000000002E-2</v>
      </c>
      <c r="F172" s="227">
        <f>VLOOKUP(DUNGCU[[#This Row],[Danh mục dụng cụ]],Table1[[TÊN VẬT TƯ]:[ĐƠN GIÁ
 (Chưa VAT)]],3,0)</f>
        <v>690000</v>
      </c>
      <c r="G172" s="228">
        <f t="shared" si="34"/>
        <v>276.44230769230768</v>
      </c>
      <c r="H172" s="228">
        <f t="shared" si="35"/>
        <v>9.1225961538461533</v>
      </c>
      <c r="I172" s="393"/>
    </row>
    <row r="173" spans="1:9" ht="15.75" x14ac:dyDescent="0.25">
      <c r="A173" s="79" t="s">
        <v>89</v>
      </c>
      <c r="B173" s="48" t="s">
        <v>202</v>
      </c>
      <c r="C173" s="127" t="s">
        <v>107</v>
      </c>
      <c r="D173" s="127">
        <v>96</v>
      </c>
      <c r="E173" s="127">
        <v>3.3000000000000002E-2</v>
      </c>
      <c r="F173" s="227">
        <f>VLOOKUP(DUNGCU[[#This Row],[Danh mục dụng cụ]],Table1[[TÊN VẬT TƯ]:[ĐƠN GIÁ
 (Chưa VAT)]],3,0)</f>
        <v>1665000</v>
      </c>
      <c r="G173" s="228">
        <f t="shared" si="34"/>
        <v>667.06730769230774</v>
      </c>
      <c r="H173" s="228">
        <f t="shared" si="35"/>
        <v>22.013221153846157</v>
      </c>
      <c r="I173" s="393"/>
    </row>
    <row r="174" spans="1:9" ht="47.25" x14ac:dyDescent="0.25">
      <c r="A174" s="77" t="s">
        <v>140</v>
      </c>
      <c r="B174" s="251" t="s">
        <v>44</v>
      </c>
      <c r="C174" s="47" t="s">
        <v>267</v>
      </c>
      <c r="D174" s="47"/>
      <c r="E174" s="47"/>
      <c r="F174" s="256"/>
      <c r="G174" s="257"/>
      <c r="H174" s="257">
        <f>SUM(H175:H179)</f>
        <v>73.993382692307691</v>
      </c>
      <c r="I174" s="393"/>
    </row>
    <row r="175" spans="1:9" ht="15.75" x14ac:dyDescent="0.25">
      <c r="A175" s="79" t="s">
        <v>89</v>
      </c>
      <c r="B175" s="48" t="s">
        <v>198</v>
      </c>
      <c r="C175" s="127" t="s">
        <v>107</v>
      </c>
      <c r="D175" s="127">
        <v>60</v>
      </c>
      <c r="E175" s="127">
        <v>2.3099999999999999E-2</v>
      </c>
      <c r="F175" s="227">
        <f>VLOOKUP(DUNGCU[[#This Row],[Danh mục dụng cụ]],Table1[[TÊN VẬT TƯ]:[ĐƠN GIÁ
 (Chưa VAT)]],3,0)</f>
        <v>2454545</v>
      </c>
      <c r="G175" s="228">
        <f t="shared" ref="G175:G179" si="36">F175/D175/26</f>
        <v>1573.4262820512822</v>
      </c>
      <c r="H175" s="228">
        <f t="shared" ref="H175:H179" si="37">G175*E175</f>
        <v>36.346147115384618</v>
      </c>
      <c r="I175" s="393"/>
    </row>
    <row r="176" spans="1:9" ht="15.75" x14ac:dyDescent="0.25">
      <c r="A176" s="79" t="s">
        <v>89</v>
      </c>
      <c r="B176" s="48" t="s">
        <v>263</v>
      </c>
      <c r="C176" s="127" t="s">
        <v>107</v>
      </c>
      <c r="D176" s="127">
        <v>60</v>
      </c>
      <c r="E176" s="127">
        <v>3.9E-2</v>
      </c>
      <c r="F176" s="227">
        <f>VLOOKUP(DUNGCU[[#This Row],[Danh mục dụng cụ]],Table1[[TÊN VẬT TƯ]:[ĐƠN GIÁ
 (Chưa VAT)]],3,0)</f>
        <v>275000</v>
      </c>
      <c r="G176" s="228">
        <f t="shared" si="36"/>
        <v>176.28205128205127</v>
      </c>
      <c r="H176" s="228">
        <f t="shared" si="37"/>
        <v>6.8749999999999991</v>
      </c>
      <c r="I176" s="393"/>
    </row>
    <row r="177" spans="1:9" ht="15.75" x14ac:dyDescent="0.25">
      <c r="A177" s="79" t="s">
        <v>89</v>
      </c>
      <c r="B177" s="48" t="s">
        <v>199</v>
      </c>
      <c r="C177" s="127" t="s">
        <v>200</v>
      </c>
      <c r="D177" s="127">
        <v>36</v>
      </c>
      <c r="E177" s="127">
        <v>2.3099999999999999E-2</v>
      </c>
      <c r="F177" s="227">
        <f>VLOOKUP(DUNGCU[[#This Row],[Danh mục dụng cụ]],Table1[[TÊN VẬT TƯ]:[ĐƠN GIÁ
 (Chưa VAT)]],3,0)</f>
        <v>105000</v>
      </c>
      <c r="G177" s="228">
        <f t="shared" si="36"/>
        <v>112.17948717948717</v>
      </c>
      <c r="H177" s="228">
        <f t="shared" si="37"/>
        <v>2.5913461538461533</v>
      </c>
      <c r="I177" s="393"/>
    </row>
    <row r="178" spans="1:9" ht="15.75" x14ac:dyDescent="0.25">
      <c r="A178" s="79" t="s">
        <v>89</v>
      </c>
      <c r="B178" s="48" t="s">
        <v>201</v>
      </c>
      <c r="C178" s="127" t="s">
        <v>107</v>
      </c>
      <c r="D178" s="127">
        <v>96</v>
      </c>
      <c r="E178" s="127">
        <v>4.6199999999999998E-2</v>
      </c>
      <c r="F178" s="227">
        <f>VLOOKUP(DUNGCU[[#This Row],[Danh mục dụng cụ]],Table1[[TÊN VẬT TƯ]:[ĐƠN GIÁ
 (Chưa VAT)]],3,0)</f>
        <v>690000</v>
      </c>
      <c r="G178" s="228">
        <f t="shared" si="36"/>
        <v>276.44230769230768</v>
      </c>
      <c r="H178" s="228">
        <f t="shared" si="37"/>
        <v>12.771634615384615</v>
      </c>
      <c r="I178" s="393"/>
    </row>
    <row r="179" spans="1:9" ht="15.75" x14ac:dyDescent="0.25">
      <c r="A179" s="79" t="s">
        <v>89</v>
      </c>
      <c r="B179" s="48" t="s">
        <v>202</v>
      </c>
      <c r="C179" s="127" t="s">
        <v>107</v>
      </c>
      <c r="D179" s="127">
        <v>96</v>
      </c>
      <c r="E179" s="127">
        <v>2.3099999999999999E-2</v>
      </c>
      <c r="F179" s="227">
        <f>VLOOKUP(DUNGCU[[#This Row],[Danh mục dụng cụ]],Table1[[TÊN VẬT TƯ]:[ĐƠN GIÁ
 (Chưa VAT)]],3,0)</f>
        <v>1665000</v>
      </c>
      <c r="G179" s="228">
        <f t="shared" si="36"/>
        <v>667.06730769230774</v>
      </c>
      <c r="H179" s="228">
        <f t="shared" si="37"/>
        <v>15.409254807692308</v>
      </c>
      <c r="I179" s="393"/>
    </row>
    <row r="180" spans="1:9" ht="75" x14ac:dyDescent="0.25">
      <c r="A180" s="77" t="s">
        <v>141</v>
      </c>
      <c r="B180" s="251" t="s">
        <v>45</v>
      </c>
      <c r="C180" s="47"/>
      <c r="D180" s="47"/>
      <c r="E180" s="47"/>
      <c r="F180" s="256"/>
      <c r="G180" s="257"/>
      <c r="H180" s="257">
        <v>0</v>
      </c>
      <c r="I180" s="395" t="s">
        <v>533</v>
      </c>
    </row>
    <row r="181" spans="1:9" ht="15.75" x14ac:dyDescent="0.25">
      <c r="A181" s="77" t="s">
        <v>142</v>
      </c>
      <c r="B181" s="251" t="s">
        <v>46</v>
      </c>
      <c r="C181" s="47" t="s">
        <v>265</v>
      </c>
      <c r="D181" s="47"/>
      <c r="E181" s="47"/>
      <c r="F181" s="256"/>
      <c r="G181" s="257"/>
      <c r="H181" s="257">
        <f>SUM(H182:H188)</f>
        <v>388.12215000000003</v>
      </c>
      <c r="I181" s="393"/>
    </row>
    <row r="182" spans="1:9" ht="15.75" x14ac:dyDescent="0.25">
      <c r="A182" s="79" t="s">
        <v>89</v>
      </c>
      <c r="B182" s="48" t="s">
        <v>239</v>
      </c>
      <c r="C182" s="127" t="s">
        <v>200</v>
      </c>
      <c r="D182" s="127">
        <v>12</v>
      </c>
      <c r="E182" s="127">
        <v>0.1716</v>
      </c>
      <c r="F182" s="227">
        <f>VLOOKUP(DUNGCU[[#This Row],[Danh mục dụng cụ]],Table1[[TÊN VẬT TƯ]:[ĐƠN GIÁ
 (Chưa VAT)]],3,0)</f>
        <v>135000</v>
      </c>
      <c r="G182" s="228">
        <f t="shared" ref="G182:G188" si="38">F182/D182/26</f>
        <v>432.69230769230768</v>
      </c>
      <c r="H182" s="228">
        <f t="shared" ref="H182:H188" si="39">G182*E182</f>
        <v>74.25</v>
      </c>
      <c r="I182" s="393"/>
    </row>
    <row r="183" spans="1:9" ht="15.75" x14ac:dyDescent="0.25">
      <c r="A183" s="79" t="s">
        <v>89</v>
      </c>
      <c r="B183" s="48" t="s">
        <v>198</v>
      </c>
      <c r="C183" s="127" t="s">
        <v>107</v>
      </c>
      <c r="D183" s="127">
        <v>60</v>
      </c>
      <c r="E183" s="127">
        <v>3.1199999999999999E-2</v>
      </c>
      <c r="F183" s="227">
        <f>VLOOKUP(DUNGCU[[#This Row],[Danh mục dụng cụ]],Table1[[TÊN VẬT TƯ]:[ĐƠN GIÁ
 (Chưa VAT)]],3,0)</f>
        <v>2454545</v>
      </c>
      <c r="G183" s="228">
        <f t="shared" si="38"/>
        <v>1573.4262820512822</v>
      </c>
      <c r="H183" s="228">
        <f t="shared" si="39"/>
        <v>49.090900000000005</v>
      </c>
      <c r="I183" s="393"/>
    </row>
    <row r="184" spans="1:9" ht="15.75" x14ac:dyDescent="0.25">
      <c r="A184" s="79" t="s">
        <v>89</v>
      </c>
      <c r="B184" s="48" t="s">
        <v>263</v>
      </c>
      <c r="C184" s="127" t="s">
        <v>107</v>
      </c>
      <c r="D184" s="127">
        <v>60</v>
      </c>
      <c r="E184" s="127">
        <v>3.1199999999999999E-2</v>
      </c>
      <c r="F184" s="227">
        <f>VLOOKUP(DUNGCU[[#This Row],[Danh mục dụng cụ]],Table1[[TÊN VẬT TƯ]:[ĐƠN GIÁ
 (Chưa VAT)]],3,0)</f>
        <v>275000</v>
      </c>
      <c r="G184" s="228">
        <f t="shared" si="38"/>
        <v>176.28205128205127</v>
      </c>
      <c r="H184" s="228">
        <f t="shared" si="39"/>
        <v>5.4999999999999991</v>
      </c>
      <c r="I184" s="393"/>
    </row>
    <row r="185" spans="1:9" ht="15.75" x14ac:dyDescent="0.25">
      <c r="A185" s="79" t="s">
        <v>89</v>
      </c>
      <c r="B185" s="48" t="s">
        <v>199</v>
      </c>
      <c r="C185" s="127" t="s">
        <v>200</v>
      </c>
      <c r="D185" s="127">
        <v>36</v>
      </c>
      <c r="E185" s="127">
        <v>0.1716</v>
      </c>
      <c r="F185" s="227">
        <f>VLOOKUP(DUNGCU[[#This Row],[Danh mục dụng cụ]],Table1[[TÊN VẬT TƯ]:[ĐƠN GIÁ
 (Chưa VAT)]],3,0)</f>
        <v>105000</v>
      </c>
      <c r="G185" s="228">
        <f t="shared" si="38"/>
        <v>112.17948717948717</v>
      </c>
      <c r="H185" s="228">
        <f t="shared" si="39"/>
        <v>19.25</v>
      </c>
      <c r="I185" s="393"/>
    </row>
    <row r="186" spans="1:9" ht="15.75" x14ac:dyDescent="0.25">
      <c r="A186" s="79" t="s">
        <v>89</v>
      </c>
      <c r="B186" s="48" t="s">
        <v>201</v>
      </c>
      <c r="C186" s="127" t="s">
        <v>107</v>
      </c>
      <c r="D186" s="127">
        <v>96</v>
      </c>
      <c r="E186" s="127">
        <v>0.1716</v>
      </c>
      <c r="F186" s="227">
        <f>VLOOKUP(DUNGCU[[#This Row],[Danh mục dụng cụ]],Table1[[TÊN VẬT TƯ]:[ĐƠN GIÁ
 (Chưa VAT)]],3,0)</f>
        <v>690000</v>
      </c>
      <c r="G186" s="228">
        <f t="shared" si="38"/>
        <v>276.44230769230768</v>
      </c>
      <c r="H186" s="228">
        <f t="shared" si="39"/>
        <v>47.4375</v>
      </c>
      <c r="I186" s="393"/>
    </row>
    <row r="187" spans="1:9" ht="15.75" x14ac:dyDescent="0.25">
      <c r="A187" s="79" t="s">
        <v>89</v>
      </c>
      <c r="B187" s="48" t="s">
        <v>202</v>
      </c>
      <c r="C187" s="127" t="s">
        <v>107</v>
      </c>
      <c r="D187" s="127">
        <v>96</v>
      </c>
      <c r="E187" s="127">
        <v>0.1716</v>
      </c>
      <c r="F187" s="227">
        <f>VLOOKUP(DUNGCU[[#This Row],[Danh mục dụng cụ]],Table1[[TÊN VẬT TƯ]:[ĐƠN GIÁ
 (Chưa VAT)]],3,0)</f>
        <v>1665000</v>
      </c>
      <c r="G187" s="228">
        <f t="shared" si="38"/>
        <v>667.06730769230774</v>
      </c>
      <c r="H187" s="228">
        <f t="shared" si="39"/>
        <v>114.46875000000001</v>
      </c>
      <c r="I187" s="393"/>
    </row>
    <row r="188" spans="1:9" ht="15.75" x14ac:dyDescent="0.25">
      <c r="A188" s="79" t="s">
        <v>89</v>
      </c>
      <c r="B188" s="48" t="s">
        <v>269</v>
      </c>
      <c r="C188" s="127" t="s">
        <v>107</v>
      </c>
      <c r="D188" s="127">
        <v>96</v>
      </c>
      <c r="E188" s="127">
        <v>3.9E-2</v>
      </c>
      <c r="F188" s="227">
        <f>VLOOKUP(DUNGCU[[#This Row],[Danh mục dụng cụ]],Table1[[TÊN VẬT TƯ]:[ĐƠN GIÁ
 (Chưa VAT)]],3,0)</f>
        <v>5000000</v>
      </c>
      <c r="G188" s="228">
        <f t="shared" si="38"/>
        <v>2003.2051282051284</v>
      </c>
      <c r="H188" s="228">
        <f t="shared" si="39"/>
        <v>78.125000000000014</v>
      </c>
      <c r="I188" s="393"/>
    </row>
    <row r="189" spans="1:9" ht="15.75" x14ac:dyDescent="0.25">
      <c r="A189" s="77" t="s">
        <v>143</v>
      </c>
      <c r="B189" s="251" t="s">
        <v>47</v>
      </c>
      <c r="C189" s="47"/>
      <c r="D189" s="47"/>
      <c r="E189" s="47"/>
      <c r="F189" s="256"/>
      <c r="G189" s="257"/>
      <c r="H189" s="257">
        <v>0</v>
      </c>
      <c r="I189" s="392" t="s">
        <v>54</v>
      </c>
    </row>
    <row r="190" spans="1:9" ht="15.75" x14ac:dyDescent="0.25">
      <c r="A190" s="78" t="s">
        <v>144</v>
      </c>
      <c r="B190" s="143" t="s">
        <v>48</v>
      </c>
      <c r="C190" s="127"/>
      <c r="D190" s="127"/>
      <c r="E190" s="127"/>
      <c r="F190" s="227"/>
      <c r="G190" s="228"/>
      <c r="H190" s="228"/>
      <c r="I190" s="392" t="s">
        <v>293</v>
      </c>
    </row>
    <row r="191" spans="1:9" ht="15.75" x14ac:dyDescent="0.25">
      <c r="A191" s="204"/>
      <c r="B191" s="278" t="s">
        <v>272</v>
      </c>
      <c r="C191" s="327"/>
      <c r="D191" s="223"/>
      <c r="E191" s="223"/>
      <c r="F191" s="263"/>
      <c r="G191" s="264"/>
      <c r="H191" s="326">
        <f>H192+H205</f>
        <v>2410.9680769230768</v>
      </c>
      <c r="I191" s="396" t="s">
        <v>491</v>
      </c>
    </row>
    <row r="192" spans="1:9" ht="18.75" x14ac:dyDescent="0.25">
      <c r="A192" s="77" t="s">
        <v>145</v>
      </c>
      <c r="B192" s="251" t="s">
        <v>48</v>
      </c>
      <c r="C192" s="255" t="s">
        <v>581</v>
      </c>
      <c r="D192" s="47"/>
      <c r="E192" s="47"/>
      <c r="F192" s="256"/>
      <c r="G192" s="257"/>
      <c r="H192" s="257">
        <f>SUM(H193:H204)</f>
        <v>2152.2851025641025</v>
      </c>
      <c r="I192" s="393"/>
    </row>
    <row r="193" spans="1:9" ht="15.75" x14ac:dyDescent="0.25">
      <c r="A193" s="79" t="s">
        <v>89</v>
      </c>
      <c r="B193" s="48" t="s">
        <v>239</v>
      </c>
      <c r="C193" s="127" t="s">
        <v>200</v>
      </c>
      <c r="D193" s="127">
        <v>12</v>
      </c>
      <c r="E193" s="127">
        <v>0.13</v>
      </c>
      <c r="F193" s="227">
        <f>VLOOKUP(DUNGCU[[#This Row],[Danh mục dụng cụ]],Table1[[TÊN VẬT TƯ]:[ĐƠN GIÁ
 (Chưa VAT)]],3,0)</f>
        <v>135000</v>
      </c>
      <c r="G193" s="228">
        <f t="shared" ref="G193:G204" si="40">F193/D193/26</f>
        <v>432.69230769230768</v>
      </c>
      <c r="H193" s="228">
        <f t="shared" ref="H193:H204" si="41">G193*E193</f>
        <v>56.25</v>
      </c>
      <c r="I193" s="393"/>
    </row>
    <row r="194" spans="1:9" ht="15.75" x14ac:dyDescent="0.25">
      <c r="A194" s="79" t="s">
        <v>89</v>
      </c>
      <c r="B194" s="48" t="s">
        <v>276</v>
      </c>
      <c r="C194" s="127" t="s">
        <v>277</v>
      </c>
      <c r="D194" s="127">
        <v>3</v>
      </c>
      <c r="E194" s="127">
        <v>0.13</v>
      </c>
      <c r="F194" s="227">
        <f>VLOOKUP(DUNGCU[[#This Row],[Danh mục dụng cụ]],Table1[[TÊN VẬT TƯ]:[ĐƠN GIÁ
 (Chưa VAT)]],3,0)</f>
        <v>12000</v>
      </c>
      <c r="G194" s="228">
        <f t="shared" si="40"/>
        <v>153.84615384615384</v>
      </c>
      <c r="H194" s="228">
        <f t="shared" si="41"/>
        <v>20</v>
      </c>
      <c r="I194" s="393"/>
    </row>
    <row r="195" spans="1:9" ht="15.75" x14ac:dyDescent="0.25">
      <c r="A195" s="79" t="s">
        <v>89</v>
      </c>
      <c r="B195" s="48" t="s">
        <v>278</v>
      </c>
      <c r="C195" s="127" t="s">
        <v>107</v>
      </c>
      <c r="D195" s="127">
        <v>6</v>
      </c>
      <c r="E195" s="127">
        <v>0.13</v>
      </c>
      <c r="F195" s="227">
        <f>VLOOKUP(DUNGCU[[#This Row],[Danh mục dụng cụ]],Table1[[TÊN VẬT TƯ]:[ĐƠN GIÁ
 (Chưa VAT)]],3,0)</f>
        <v>40000</v>
      </c>
      <c r="G195" s="228">
        <f t="shared" si="40"/>
        <v>256.41025641025641</v>
      </c>
      <c r="H195" s="228">
        <f t="shared" si="41"/>
        <v>33.333333333333336</v>
      </c>
      <c r="I195" s="393"/>
    </row>
    <row r="196" spans="1:9" ht="15.75" x14ac:dyDescent="0.25">
      <c r="A196" s="79" t="s">
        <v>89</v>
      </c>
      <c r="B196" s="48" t="s">
        <v>279</v>
      </c>
      <c r="C196" s="127" t="s">
        <v>107</v>
      </c>
      <c r="D196" s="127">
        <v>60</v>
      </c>
      <c r="E196" s="127">
        <v>0.01</v>
      </c>
      <c r="F196" s="227">
        <f>VLOOKUP(DUNGCU[[#This Row],[Danh mục dụng cụ]],Table1[[TÊN VẬT TƯ]:[ĐƠN GIÁ
 (Chưa VAT)]],3,0)</f>
        <v>760000</v>
      </c>
      <c r="G196" s="228">
        <f t="shared" si="40"/>
        <v>487.17948717948718</v>
      </c>
      <c r="H196" s="228">
        <f t="shared" si="41"/>
        <v>4.8717948717948723</v>
      </c>
      <c r="I196" s="393"/>
    </row>
    <row r="197" spans="1:9" ht="15.75" x14ac:dyDescent="0.25">
      <c r="A197" s="79" t="s">
        <v>89</v>
      </c>
      <c r="B197" s="48" t="s">
        <v>280</v>
      </c>
      <c r="C197" s="127" t="s">
        <v>107</v>
      </c>
      <c r="D197" s="127">
        <v>12</v>
      </c>
      <c r="E197" s="127">
        <v>1.67</v>
      </c>
      <c r="F197" s="227">
        <f>VLOOKUP(DUNGCU[[#This Row],[Danh mục dụng cụ]],Table1[[TÊN VẬT TƯ]:[ĐƠN GIÁ
 (Chưa VAT)]],3,0)</f>
        <v>285000</v>
      </c>
      <c r="G197" s="228">
        <f t="shared" si="40"/>
        <v>913.46153846153845</v>
      </c>
      <c r="H197" s="228">
        <f t="shared" si="41"/>
        <v>1525.4807692307691</v>
      </c>
      <c r="I197" s="393"/>
    </row>
    <row r="198" spans="1:9" ht="15.75" x14ac:dyDescent="0.25">
      <c r="A198" s="79" t="s">
        <v>89</v>
      </c>
      <c r="B198" s="48" t="s">
        <v>281</v>
      </c>
      <c r="C198" s="127" t="s">
        <v>107</v>
      </c>
      <c r="D198" s="127">
        <v>48</v>
      </c>
      <c r="E198" s="127">
        <v>1.67</v>
      </c>
      <c r="F198" s="227">
        <f>VLOOKUP(DUNGCU[[#This Row],[Danh mục dụng cụ]],Table1[[TÊN VẬT TƯ]:[ĐƠN GIÁ
 (Chưa VAT)]],3,0)</f>
        <v>285000</v>
      </c>
      <c r="G198" s="228">
        <f t="shared" si="40"/>
        <v>228.36538461538461</v>
      </c>
      <c r="H198" s="228">
        <f t="shared" si="41"/>
        <v>381.37019230769226</v>
      </c>
      <c r="I198" s="393"/>
    </row>
    <row r="199" spans="1:9" ht="15.75" x14ac:dyDescent="0.25">
      <c r="A199" s="79" t="s">
        <v>89</v>
      </c>
      <c r="B199" s="48" t="s">
        <v>198</v>
      </c>
      <c r="C199" s="127" t="s">
        <v>107</v>
      </c>
      <c r="D199" s="127">
        <v>60</v>
      </c>
      <c r="E199" s="127">
        <v>0.02</v>
      </c>
      <c r="F199" s="227">
        <f>VLOOKUP(DUNGCU[[#This Row],[Danh mục dụng cụ]],Table1[[TÊN VẬT TƯ]:[ĐƠN GIÁ
 (Chưa VAT)]],3,0)</f>
        <v>2454545</v>
      </c>
      <c r="G199" s="228">
        <f t="shared" si="40"/>
        <v>1573.4262820512822</v>
      </c>
      <c r="H199" s="228">
        <f t="shared" si="41"/>
        <v>31.468525641025646</v>
      </c>
      <c r="I199" s="393"/>
    </row>
    <row r="200" spans="1:9" ht="15.75" x14ac:dyDescent="0.25">
      <c r="A200" s="79" t="s">
        <v>89</v>
      </c>
      <c r="B200" s="48" t="s">
        <v>263</v>
      </c>
      <c r="C200" s="127" t="s">
        <v>107</v>
      </c>
      <c r="D200" s="127">
        <v>60</v>
      </c>
      <c r="E200" s="127">
        <v>0.02</v>
      </c>
      <c r="F200" s="227">
        <f>VLOOKUP(DUNGCU[[#This Row],[Danh mục dụng cụ]],Table1[[TÊN VẬT TƯ]:[ĐƠN GIÁ
 (Chưa VAT)]],3,0)</f>
        <v>275000</v>
      </c>
      <c r="G200" s="228">
        <f t="shared" si="40"/>
        <v>176.28205128205127</v>
      </c>
      <c r="H200" s="228">
        <f t="shared" si="41"/>
        <v>3.5256410256410255</v>
      </c>
      <c r="I200" s="393"/>
    </row>
    <row r="201" spans="1:9" ht="15.75" x14ac:dyDescent="0.25">
      <c r="A201" s="79" t="s">
        <v>89</v>
      </c>
      <c r="B201" s="48" t="s">
        <v>199</v>
      </c>
      <c r="C201" s="127" t="s">
        <v>200</v>
      </c>
      <c r="D201" s="127">
        <v>36</v>
      </c>
      <c r="E201" s="127">
        <v>0.13</v>
      </c>
      <c r="F201" s="227">
        <f>VLOOKUP(DUNGCU[[#This Row],[Danh mục dụng cụ]],Table1[[TÊN VẬT TƯ]:[ĐƠN GIÁ
 (Chưa VAT)]],3,0)</f>
        <v>105000</v>
      </c>
      <c r="G201" s="228">
        <f t="shared" si="40"/>
        <v>112.17948717948717</v>
      </c>
      <c r="H201" s="228">
        <f t="shared" si="41"/>
        <v>14.583333333333332</v>
      </c>
      <c r="I201" s="393"/>
    </row>
    <row r="202" spans="1:9" ht="15.75" x14ac:dyDescent="0.25">
      <c r="A202" s="79" t="s">
        <v>89</v>
      </c>
      <c r="B202" s="48" t="s">
        <v>241</v>
      </c>
      <c r="C202" s="127" t="s">
        <v>107</v>
      </c>
      <c r="D202" s="127">
        <v>60</v>
      </c>
      <c r="E202" s="127">
        <v>0.01</v>
      </c>
      <c r="F202" s="227">
        <f>VLOOKUP(DUNGCU[[#This Row],[Danh mục dụng cụ]],Table1[[TÊN VẬT TƯ]:[ĐƠN GIÁ
 (Chưa VAT)]],3,0)</f>
        <v>2363636</v>
      </c>
      <c r="G202" s="228">
        <f t="shared" si="40"/>
        <v>1515.1512820512821</v>
      </c>
      <c r="H202" s="228">
        <f t="shared" si="41"/>
        <v>15.151512820512821</v>
      </c>
      <c r="I202" s="393"/>
    </row>
    <row r="203" spans="1:9" ht="15.75" x14ac:dyDescent="0.25">
      <c r="A203" s="79" t="s">
        <v>89</v>
      </c>
      <c r="B203" s="48" t="s">
        <v>473</v>
      </c>
      <c r="C203" s="127" t="s">
        <v>107</v>
      </c>
      <c r="D203" s="127">
        <v>60</v>
      </c>
      <c r="E203" s="127">
        <v>1E-3</v>
      </c>
      <c r="F203" s="227">
        <f>VLOOKUP(DUNGCU[[#This Row],[Danh mục dụng cụ]],Table1[[TÊN VẬT TƯ]:[ĐƠN GIÁ
 (Chưa VAT)]],3,0)</f>
        <v>13350000</v>
      </c>
      <c r="G203" s="228">
        <f t="shared" si="40"/>
        <v>8557.6923076923085</v>
      </c>
      <c r="H203" s="228">
        <f t="shared" si="41"/>
        <v>8.5576923076923084</v>
      </c>
      <c r="I203" s="393"/>
    </row>
    <row r="204" spans="1:9" ht="15.75" x14ac:dyDescent="0.25">
      <c r="A204" s="79" t="s">
        <v>89</v>
      </c>
      <c r="B204" s="48" t="s">
        <v>282</v>
      </c>
      <c r="C204" s="127" t="s">
        <v>107</v>
      </c>
      <c r="D204" s="127">
        <v>6</v>
      </c>
      <c r="E204" s="127">
        <v>0.04</v>
      </c>
      <c r="F204" s="227">
        <f>VLOOKUP(DUNGCU[[#This Row],[Danh mục dụng cụ]],Table1[[TÊN VẬT TƯ]:[ĐƠN GIÁ
 (Chưa VAT)]],3,0)</f>
        <v>225000</v>
      </c>
      <c r="G204" s="228">
        <f t="shared" si="40"/>
        <v>1442.3076923076924</v>
      </c>
      <c r="H204" s="228">
        <f t="shared" si="41"/>
        <v>57.692307692307693</v>
      </c>
      <c r="I204" s="393"/>
    </row>
    <row r="205" spans="1:9" ht="15.75" x14ac:dyDescent="0.25">
      <c r="A205" s="77" t="s">
        <v>146</v>
      </c>
      <c r="B205" s="251" t="s">
        <v>49</v>
      </c>
      <c r="C205" s="47" t="s">
        <v>283</v>
      </c>
      <c r="D205" s="47"/>
      <c r="E205" s="47"/>
      <c r="F205" s="256"/>
      <c r="G205" s="257"/>
      <c r="H205" s="257">
        <f>SUM(H206:H210)</f>
        <v>258.68297435897438</v>
      </c>
      <c r="I205" s="393"/>
    </row>
    <row r="206" spans="1:9" ht="15.75" x14ac:dyDescent="0.25">
      <c r="A206" s="79" t="s">
        <v>89</v>
      </c>
      <c r="B206" s="48" t="s">
        <v>198</v>
      </c>
      <c r="C206" s="127" t="s">
        <v>107</v>
      </c>
      <c r="D206" s="127">
        <v>60</v>
      </c>
      <c r="E206" s="127">
        <v>3.2000000000000001E-2</v>
      </c>
      <c r="F206" s="227">
        <f>VLOOKUP(DUNGCU[[#This Row],[Danh mục dụng cụ]],Table1[[TÊN VẬT TƯ]:[ĐƠN GIÁ
 (Chưa VAT)]],3,0)</f>
        <v>2454545</v>
      </c>
      <c r="G206" s="228">
        <f t="shared" ref="G206:G210" si="42">F206/D206/26</f>
        <v>1573.4262820512822</v>
      </c>
      <c r="H206" s="228">
        <f t="shared" ref="H206:H210" si="43">G206*E206</f>
        <v>50.349641025641034</v>
      </c>
      <c r="I206" s="393"/>
    </row>
    <row r="207" spans="1:9" ht="15.75" x14ac:dyDescent="0.25">
      <c r="A207" s="79" t="s">
        <v>89</v>
      </c>
      <c r="B207" s="48" t="s">
        <v>263</v>
      </c>
      <c r="C207" s="127" t="s">
        <v>107</v>
      </c>
      <c r="D207" s="127">
        <v>60</v>
      </c>
      <c r="E207" s="127">
        <v>3.2000000000000001E-2</v>
      </c>
      <c r="F207" s="227">
        <f>VLOOKUP(DUNGCU[[#This Row],[Danh mục dụng cụ]],Table1[[TÊN VẬT TƯ]:[ĐƠN GIÁ
 (Chưa VAT)]],3,0)</f>
        <v>275000</v>
      </c>
      <c r="G207" s="228">
        <f t="shared" si="42"/>
        <v>176.28205128205127</v>
      </c>
      <c r="H207" s="228">
        <f t="shared" si="43"/>
        <v>5.6410256410256405</v>
      </c>
      <c r="I207" s="393"/>
    </row>
    <row r="208" spans="1:9" ht="15.75" x14ac:dyDescent="0.25">
      <c r="A208" s="79" t="s">
        <v>89</v>
      </c>
      <c r="B208" s="48" t="s">
        <v>199</v>
      </c>
      <c r="C208" s="127" t="s">
        <v>200</v>
      </c>
      <c r="D208" s="127">
        <v>36</v>
      </c>
      <c r="E208" s="127">
        <v>0.192</v>
      </c>
      <c r="F208" s="227">
        <f>VLOOKUP(DUNGCU[[#This Row],[Danh mục dụng cụ]],Table1[[TÊN VẬT TƯ]:[ĐƠN GIÁ
 (Chưa VAT)]],3,0)</f>
        <v>105000</v>
      </c>
      <c r="G208" s="228">
        <f t="shared" si="42"/>
        <v>112.17948717948717</v>
      </c>
      <c r="H208" s="228">
        <f t="shared" si="43"/>
        <v>21.538461538461537</v>
      </c>
      <c r="I208" s="393"/>
    </row>
    <row r="209" spans="1:9" ht="15.75" x14ac:dyDescent="0.25">
      <c r="A209" s="79" t="s">
        <v>89</v>
      </c>
      <c r="B209" s="48" t="s">
        <v>201</v>
      </c>
      <c r="C209" s="127" t="s">
        <v>107</v>
      </c>
      <c r="D209" s="127">
        <v>96</v>
      </c>
      <c r="E209" s="127">
        <v>0.192</v>
      </c>
      <c r="F209" s="227">
        <f>VLOOKUP(DUNGCU[[#This Row],[Danh mục dụng cụ]],Table1[[TÊN VẬT TƯ]:[ĐƠN GIÁ
 (Chưa VAT)]],3,0)</f>
        <v>690000</v>
      </c>
      <c r="G209" s="228">
        <f t="shared" si="42"/>
        <v>276.44230769230768</v>
      </c>
      <c r="H209" s="228">
        <f t="shared" si="43"/>
        <v>53.076923076923073</v>
      </c>
      <c r="I209" s="393"/>
    </row>
    <row r="210" spans="1:9" ht="15.75" x14ac:dyDescent="0.25">
      <c r="A210" s="79" t="s">
        <v>89</v>
      </c>
      <c r="B210" s="48" t="s">
        <v>202</v>
      </c>
      <c r="C210" s="127" t="s">
        <v>107</v>
      </c>
      <c r="D210" s="127">
        <v>96</v>
      </c>
      <c r="E210" s="127">
        <v>0.192</v>
      </c>
      <c r="F210" s="227">
        <f>VLOOKUP(DUNGCU[[#This Row],[Danh mục dụng cụ]],Table1[[TÊN VẬT TƯ]:[ĐƠN GIÁ
 (Chưa VAT)]],3,0)</f>
        <v>1665000</v>
      </c>
      <c r="G210" s="228">
        <f t="shared" si="42"/>
        <v>667.06730769230774</v>
      </c>
      <c r="H210" s="228">
        <f t="shared" si="43"/>
        <v>128.07692307692309</v>
      </c>
      <c r="I210" s="393"/>
    </row>
    <row r="211" spans="1:9" ht="15.75" x14ac:dyDescent="0.25">
      <c r="A211" s="202"/>
      <c r="B211" s="278" t="s">
        <v>273</v>
      </c>
      <c r="C211" s="231"/>
      <c r="D211" s="231"/>
      <c r="E211" s="231"/>
      <c r="F211" s="328"/>
      <c r="G211" s="326"/>
      <c r="H211" s="326">
        <f>SUM(H212:H213)</f>
        <v>2893.1616923076922</v>
      </c>
      <c r="I211" s="396" t="s">
        <v>489</v>
      </c>
    </row>
    <row r="212" spans="1:9" ht="18.75" x14ac:dyDescent="0.25">
      <c r="A212" s="77" t="s">
        <v>145</v>
      </c>
      <c r="B212" s="251" t="s">
        <v>48</v>
      </c>
      <c r="C212" s="255" t="s">
        <v>581</v>
      </c>
      <c r="D212" s="127"/>
      <c r="E212" s="127"/>
      <c r="F212" s="227"/>
      <c r="G212" s="228"/>
      <c r="H212" s="257">
        <f>$H$192*1.2</f>
        <v>2582.7421230769228</v>
      </c>
      <c r="I212" s="393"/>
    </row>
    <row r="213" spans="1:9" ht="15.75" x14ac:dyDescent="0.25">
      <c r="A213" s="77" t="s">
        <v>146</v>
      </c>
      <c r="B213" s="251" t="s">
        <v>49</v>
      </c>
      <c r="C213" s="47" t="s">
        <v>283</v>
      </c>
      <c r="D213" s="127"/>
      <c r="E213" s="127"/>
      <c r="F213" s="227"/>
      <c r="G213" s="228"/>
      <c r="H213" s="257">
        <f>$H$205*1.2</f>
        <v>310.41956923076924</v>
      </c>
      <c r="I213" s="393"/>
    </row>
    <row r="214" spans="1:9" ht="15.75" x14ac:dyDescent="0.25">
      <c r="A214" s="202"/>
      <c r="B214" s="278" t="s">
        <v>274</v>
      </c>
      <c r="C214" s="231"/>
      <c r="D214" s="231"/>
      <c r="E214" s="231"/>
      <c r="F214" s="328"/>
      <c r="G214" s="326"/>
      <c r="H214" s="326">
        <f>SUM(H215:H216)</f>
        <v>3616.4521153846154</v>
      </c>
      <c r="I214" s="396" t="s">
        <v>490</v>
      </c>
    </row>
    <row r="215" spans="1:9" ht="18.75" x14ac:dyDescent="0.25">
      <c r="A215" s="77" t="s">
        <v>145</v>
      </c>
      <c r="B215" s="251" t="s">
        <v>48</v>
      </c>
      <c r="C215" s="255" t="s">
        <v>581</v>
      </c>
      <c r="D215" s="127"/>
      <c r="E215" s="127"/>
      <c r="F215" s="227"/>
      <c r="G215" s="228"/>
      <c r="H215" s="257">
        <f>$H$192*1.5</f>
        <v>3228.4276538461536</v>
      </c>
      <c r="I215" s="393"/>
    </row>
    <row r="216" spans="1:9" ht="15.75" x14ac:dyDescent="0.25">
      <c r="A216" s="77" t="s">
        <v>146</v>
      </c>
      <c r="B216" s="251" t="s">
        <v>49</v>
      </c>
      <c r="C216" s="47" t="s">
        <v>283</v>
      </c>
      <c r="D216" s="127"/>
      <c r="E216" s="127"/>
      <c r="F216" s="227"/>
      <c r="G216" s="228"/>
      <c r="H216" s="257">
        <f>$H$205*1.5</f>
        <v>388.02446153846154</v>
      </c>
      <c r="I216" s="393"/>
    </row>
    <row r="217" spans="1:9" ht="15.75" x14ac:dyDescent="0.25">
      <c r="A217" s="78" t="s">
        <v>296</v>
      </c>
      <c r="B217" s="143" t="s">
        <v>50</v>
      </c>
      <c r="C217" s="127"/>
      <c r="D217" s="127"/>
      <c r="E217" s="127"/>
      <c r="F217" s="227"/>
      <c r="G217" s="228"/>
      <c r="H217" s="228"/>
      <c r="I217" s="392" t="s">
        <v>294</v>
      </c>
    </row>
    <row r="218" spans="1:9" ht="15.75" x14ac:dyDescent="0.25">
      <c r="A218" s="202"/>
      <c r="B218" s="278" t="s">
        <v>272</v>
      </c>
      <c r="C218" s="329"/>
      <c r="D218" s="231"/>
      <c r="E218" s="231"/>
      <c r="F218" s="328"/>
      <c r="G218" s="326"/>
      <c r="H218" s="326">
        <f>H219+H230</f>
        <v>167.33915461538461</v>
      </c>
      <c r="I218" s="396" t="s">
        <v>491</v>
      </c>
    </row>
    <row r="219" spans="1:9" ht="15.75" x14ac:dyDescent="0.25">
      <c r="A219" s="77" t="s">
        <v>147</v>
      </c>
      <c r="B219" s="251" t="s">
        <v>50</v>
      </c>
      <c r="C219" s="47" t="s">
        <v>551</v>
      </c>
      <c r="D219" s="47"/>
      <c r="E219" s="47"/>
      <c r="F219" s="256"/>
      <c r="G219" s="257"/>
      <c r="H219" s="257">
        <f>SUM(H220:H229)</f>
        <v>167.33915461538461</v>
      </c>
      <c r="I219" s="393"/>
    </row>
    <row r="220" spans="1:9" ht="15.75" x14ac:dyDescent="0.25">
      <c r="A220" s="79" t="s">
        <v>89</v>
      </c>
      <c r="B220" s="48" t="s">
        <v>239</v>
      </c>
      <c r="C220" s="127" t="s">
        <v>200</v>
      </c>
      <c r="D220" s="127">
        <v>12</v>
      </c>
      <c r="E220" s="127">
        <v>5.5999999999999999E-3</v>
      </c>
      <c r="F220" s="227">
        <f>VLOOKUP(DUNGCU[[#This Row],[Danh mục dụng cụ]],Table1[[TÊN VẬT TƯ]:[ĐƠN GIÁ
 (Chưa VAT)]],3,0)</f>
        <v>135000</v>
      </c>
      <c r="G220" s="228">
        <f t="shared" ref="G220:G229" si="44">F220/D220/26</f>
        <v>432.69230769230768</v>
      </c>
      <c r="H220" s="228">
        <f t="shared" ref="H220:H229" si="45">G220*E220</f>
        <v>2.4230769230769229</v>
      </c>
      <c r="I220" s="393"/>
    </row>
    <row r="221" spans="1:9" ht="15.75" x14ac:dyDescent="0.25">
      <c r="A221" s="79" t="s">
        <v>89</v>
      </c>
      <c r="B221" s="48" t="s">
        <v>276</v>
      </c>
      <c r="C221" s="127" t="s">
        <v>277</v>
      </c>
      <c r="D221" s="127">
        <v>3</v>
      </c>
      <c r="E221" s="127">
        <v>0.10150000000000001</v>
      </c>
      <c r="F221" s="227">
        <f>VLOOKUP(DUNGCU[[#This Row],[Danh mục dụng cụ]],Table1[[TÊN VẬT TƯ]:[ĐƠN GIÁ
 (Chưa VAT)]],3,0)</f>
        <v>12000</v>
      </c>
      <c r="G221" s="228">
        <f t="shared" si="44"/>
        <v>153.84615384615384</v>
      </c>
      <c r="H221" s="228">
        <f t="shared" si="45"/>
        <v>15.615384615384615</v>
      </c>
      <c r="I221" s="393"/>
    </row>
    <row r="222" spans="1:9" ht="15.75" x14ac:dyDescent="0.25">
      <c r="A222" s="79" t="s">
        <v>89</v>
      </c>
      <c r="B222" s="48" t="s">
        <v>278</v>
      </c>
      <c r="C222" s="127" t="s">
        <v>107</v>
      </c>
      <c r="D222" s="127">
        <v>6</v>
      </c>
      <c r="E222" s="127">
        <v>0.10150000000000001</v>
      </c>
      <c r="F222" s="227">
        <f>VLOOKUP(DUNGCU[[#This Row],[Danh mục dụng cụ]],Table1[[TÊN VẬT TƯ]:[ĐƠN GIÁ
 (Chưa VAT)]],3,0)</f>
        <v>40000</v>
      </c>
      <c r="G222" s="228">
        <f t="shared" si="44"/>
        <v>256.41025641025641</v>
      </c>
      <c r="H222" s="228">
        <f t="shared" si="45"/>
        <v>26.025641025641026</v>
      </c>
      <c r="I222" s="393"/>
    </row>
    <row r="223" spans="1:9" ht="15.75" x14ac:dyDescent="0.25">
      <c r="A223" s="79" t="s">
        <v>89</v>
      </c>
      <c r="B223" s="48" t="s">
        <v>279</v>
      </c>
      <c r="C223" s="127" t="s">
        <v>107</v>
      </c>
      <c r="D223" s="127">
        <v>60</v>
      </c>
      <c r="E223" s="127">
        <v>0.01</v>
      </c>
      <c r="F223" s="227">
        <f>VLOOKUP(DUNGCU[[#This Row],[Danh mục dụng cụ]],Table1[[TÊN VẬT TƯ]:[ĐƠN GIÁ
 (Chưa VAT)]],3,0)</f>
        <v>760000</v>
      </c>
      <c r="G223" s="228">
        <f t="shared" si="44"/>
        <v>487.17948717948718</v>
      </c>
      <c r="H223" s="228">
        <f t="shared" si="45"/>
        <v>4.8717948717948723</v>
      </c>
      <c r="I223" s="393"/>
    </row>
    <row r="224" spans="1:9" ht="15.75" x14ac:dyDescent="0.25">
      <c r="A224" s="79" t="s">
        <v>89</v>
      </c>
      <c r="B224" s="48" t="s">
        <v>198</v>
      </c>
      <c r="C224" s="127" t="s">
        <v>107</v>
      </c>
      <c r="D224" s="127">
        <v>60</v>
      </c>
      <c r="E224" s="127">
        <v>0.02</v>
      </c>
      <c r="F224" s="227">
        <f>VLOOKUP(DUNGCU[[#This Row],[Danh mục dụng cụ]],Table1[[TÊN VẬT TƯ]:[ĐƠN GIÁ
 (Chưa VAT)]],3,0)</f>
        <v>2454545</v>
      </c>
      <c r="G224" s="228">
        <f t="shared" si="44"/>
        <v>1573.4262820512822</v>
      </c>
      <c r="H224" s="228">
        <f t="shared" si="45"/>
        <v>31.468525641025646</v>
      </c>
      <c r="I224" s="393"/>
    </row>
    <row r="225" spans="1:10" ht="15.75" x14ac:dyDescent="0.25">
      <c r="A225" s="79" t="s">
        <v>89</v>
      </c>
      <c r="B225" s="48" t="s">
        <v>263</v>
      </c>
      <c r="C225" s="127" t="s">
        <v>107</v>
      </c>
      <c r="D225" s="127">
        <v>60</v>
      </c>
      <c r="E225" s="127">
        <v>0.02</v>
      </c>
      <c r="F225" s="227">
        <f>VLOOKUP(DUNGCU[[#This Row],[Danh mục dụng cụ]],Table1[[TÊN VẬT TƯ]:[ĐƠN GIÁ
 (Chưa VAT)]],3,0)</f>
        <v>275000</v>
      </c>
      <c r="G225" s="228">
        <f t="shared" si="44"/>
        <v>176.28205128205127</v>
      </c>
      <c r="H225" s="228">
        <f t="shared" si="45"/>
        <v>3.5256410256410255</v>
      </c>
      <c r="I225" s="393"/>
    </row>
    <row r="226" spans="1:10" ht="31.5" customHeight="1" x14ac:dyDescent="0.25">
      <c r="A226" s="79" t="s">
        <v>89</v>
      </c>
      <c r="B226" s="48" t="s">
        <v>199</v>
      </c>
      <c r="C226" s="127" t="s">
        <v>200</v>
      </c>
      <c r="D226" s="127">
        <v>36</v>
      </c>
      <c r="E226" s="127">
        <v>0.13</v>
      </c>
      <c r="F226" s="227">
        <f>VLOOKUP(DUNGCU[[#This Row],[Danh mục dụng cụ]],Table1[[TÊN VẬT TƯ]:[ĐƠN GIÁ
 (Chưa VAT)]],3,0)</f>
        <v>105000</v>
      </c>
      <c r="G226" s="228">
        <f t="shared" si="44"/>
        <v>112.17948717948717</v>
      </c>
      <c r="H226" s="228">
        <f t="shared" si="45"/>
        <v>14.583333333333332</v>
      </c>
      <c r="I226" s="393"/>
    </row>
    <row r="227" spans="1:10" ht="23.25" customHeight="1" x14ac:dyDescent="0.25">
      <c r="A227" s="79" t="s">
        <v>89</v>
      </c>
      <c r="B227" s="48" t="s">
        <v>241</v>
      </c>
      <c r="C227" s="127" t="s">
        <v>107</v>
      </c>
      <c r="D227" s="127">
        <v>60</v>
      </c>
      <c r="E227" s="127">
        <v>1.6999999999999999E-3</v>
      </c>
      <c r="F227" s="227">
        <f>VLOOKUP(DUNGCU[[#This Row],[Danh mục dụng cụ]],Table1[[TÊN VẬT TƯ]:[ĐƠN GIÁ
 (Chưa VAT)]],3,0)</f>
        <v>2363636</v>
      </c>
      <c r="G227" s="228">
        <f t="shared" si="44"/>
        <v>1515.1512820512821</v>
      </c>
      <c r="H227" s="228">
        <f t="shared" si="45"/>
        <v>2.5757571794871796</v>
      </c>
      <c r="I227" s="393"/>
    </row>
    <row r="228" spans="1:10" ht="15.75" x14ac:dyDescent="0.25">
      <c r="A228" s="79" t="s">
        <v>89</v>
      </c>
      <c r="B228" s="48" t="s">
        <v>473</v>
      </c>
      <c r="C228" s="127" t="s">
        <v>107</v>
      </c>
      <c r="D228" s="127">
        <v>60</v>
      </c>
      <c r="E228" s="127">
        <v>1E-3</v>
      </c>
      <c r="F228" s="227">
        <f>VLOOKUP(DUNGCU[[#This Row],[Danh mục dụng cụ]],Table1[[TÊN VẬT TƯ]:[ĐƠN GIÁ
 (Chưa VAT)]],3,0)</f>
        <v>13350000</v>
      </c>
      <c r="G228" s="228">
        <f t="shared" si="44"/>
        <v>8557.6923076923085</v>
      </c>
      <c r="H228" s="228">
        <f t="shared" si="45"/>
        <v>8.5576923076923084</v>
      </c>
      <c r="I228" s="393"/>
    </row>
    <row r="229" spans="1:10" ht="15.75" x14ac:dyDescent="0.25">
      <c r="A229" s="79" t="s">
        <v>89</v>
      </c>
      <c r="B229" s="48" t="s">
        <v>282</v>
      </c>
      <c r="C229" s="127" t="s">
        <v>107</v>
      </c>
      <c r="D229" s="127">
        <v>6</v>
      </c>
      <c r="E229" s="127">
        <v>0.04</v>
      </c>
      <c r="F229" s="227">
        <f>VLOOKUP(DUNGCU[[#This Row],[Danh mục dụng cụ]],Table1[[TÊN VẬT TƯ]:[ĐƠN GIÁ
 (Chưa VAT)]],3,0)</f>
        <v>225000</v>
      </c>
      <c r="G229" s="228">
        <f t="shared" si="44"/>
        <v>1442.3076923076924</v>
      </c>
      <c r="H229" s="228">
        <f t="shared" si="45"/>
        <v>57.692307692307693</v>
      </c>
      <c r="I229" s="393"/>
      <c r="J229" s="28"/>
    </row>
    <row r="230" spans="1:10" ht="15.75" x14ac:dyDescent="0.25">
      <c r="A230" s="77" t="s">
        <v>148</v>
      </c>
      <c r="B230" s="251" t="s">
        <v>51</v>
      </c>
      <c r="C230" s="47"/>
      <c r="D230" s="47"/>
      <c r="E230" s="47"/>
      <c r="F230" s="256"/>
      <c r="G230" s="257"/>
      <c r="H230" s="257">
        <v>0</v>
      </c>
      <c r="I230" s="392" t="s">
        <v>54</v>
      </c>
    </row>
    <row r="231" spans="1:10" ht="15.75" x14ac:dyDescent="0.25">
      <c r="A231" s="202"/>
      <c r="B231" s="278" t="s">
        <v>273</v>
      </c>
      <c r="C231" s="231"/>
      <c r="D231" s="231"/>
      <c r="E231" s="231"/>
      <c r="F231" s="328"/>
      <c r="G231" s="326"/>
      <c r="H231" s="326">
        <f>SUM(H232:H233)</f>
        <v>200.80698553846153</v>
      </c>
      <c r="I231" s="396" t="s">
        <v>489</v>
      </c>
    </row>
    <row r="232" spans="1:10" ht="15.75" x14ac:dyDescent="0.25">
      <c r="A232" s="77" t="s">
        <v>147</v>
      </c>
      <c r="B232" s="251" t="s">
        <v>50</v>
      </c>
      <c r="C232" s="47" t="s">
        <v>551</v>
      </c>
      <c r="D232" s="47"/>
      <c r="E232" s="47"/>
      <c r="F232" s="256"/>
      <c r="G232" s="257"/>
      <c r="H232" s="257">
        <f>$H$219*1.2</f>
        <v>200.80698553846153</v>
      </c>
      <c r="I232" s="393"/>
    </row>
    <row r="233" spans="1:10" ht="15.75" x14ac:dyDescent="0.25">
      <c r="A233" s="77" t="s">
        <v>148</v>
      </c>
      <c r="B233" s="251" t="s">
        <v>51</v>
      </c>
      <c r="C233" s="47"/>
      <c r="D233" s="47"/>
      <c r="E233" s="47"/>
      <c r="F233" s="256"/>
      <c r="G233" s="257"/>
      <c r="H233" s="257">
        <f>0</f>
        <v>0</v>
      </c>
      <c r="I233" s="392" t="s">
        <v>54</v>
      </c>
    </row>
    <row r="234" spans="1:10" ht="15.75" x14ac:dyDescent="0.25">
      <c r="A234" s="202"/>
      <c r="B234" s="278" t="s">
        <v>274</v>
      </c>
      <c r="C234" s="231"/>
      <c r="D234" s="231"/>
      <c r="E234" s="231"/>
      <c r="F234" s="328"/>
      <c r="G234" s="326"/>
      <c r="H234" s="326">
        <f>SUM(H235:H236)</f>
        <v>251.00873192307694</v>
      </c>
      <c r="I234" s="396" t="s">
        <v>490</v>
      </c>
    </row>
    <row r="235" spans="1:10" ht="15.75" x14ac:dyDescent="0.25">
      <c r="A235" s="77" t="s">
        <v>147</v>
      </c>
      <c r="B235" s="251" t="s">
        <v>50</v>
      </c>
      <c r="C235" s="47" t="s">
        <v>551</v>
      </c>
      <c r="D235" s="47"/>
      <c r="E235" s="47"/>
      <c r="F235" s="256"/>
      <c r="G235" s="257"/>
      <c r="H235" s="257">
        <f>$H$219*1.5</f>
        <v>251.00873192307694</v>
      </c>
      <c r="I235" s="393"/>
    </row>
    <row r="236" spans="1:10" ht="15.75" x14ac:dyDescent="0.25">
      <c r="A236" s="77" t="s">
        <v>148</v>
      </c>
      <c r="B236" s="251" t="s">
        <v>51</v>
      </c>
      <c r="C236" s="47"/>
      <c r="D236" s="47"/>
      <c r="E236" s="47"/>
      <c r="F236" s="256"/>
      <c r="G236" s="257"/>
      <c r="H236" s="257">
        <f>0</f>
        <v>0</v>
      </c>
      <c r="I236" s="392" t="s">
        <v>54</v>
      </c>
    </row>
    <row r="237" spans="1:10" ht="15.75" x14ac:dyDescent="0.25">
      <c r="A237" s="78" t="s">
        <v>161</v>
      </c>
      <c r="B237" s="143" t="s">
        <v>57</v>
      </c>
      <c r="C237" s="127"/>
      <c r="D237" s="127"/>
      <c r="E237" s="127"/>
      <c r="F237" s="227"/>
      <c r="G237" s="228"/>
      <c r="H237" s="271">
        <f>H238+H245+H252+H253+H254</f>
        <v>1099.2745448717949</v>
      </c>
      <c r="I237" s="393"/>
    </row>
    <row r="238" spans="1:10" ht="15.75" x14ac:dyDescent="0.25">
      <c r="A238" s="77" t="s">
        <v>149</v>
      </c>
      <c r="B238" s="251" t="s">
        <v>58</v>
      </c>
      <c r="C238" s="47" t="s">
        <v>302</v>
      </c>
      <c r="D238" s="47"/>
      <c r="E238" s="47"/>
      <c r="F238" s="256"/>
      <c r="G238" s="257"/>
      <c r="H238" s="257">
        <f>SUM(H239:H244)</f>
        <v>42.719987179487177</v>
      </c>
      <c r="I238" s="393"/>
    </row>
    <row r="239" spans="1:10" ht="15.75" x14ac:dyDescent="0.25">
      <c r="A239" s="79" t="s">
        <v>89</v>
      </c>
      <c r="B239" s="48" t="s">
        <v>239</v>
      </c>
      <c r="C239" s="127" t="s">
        <v>200</v>
      </c>
      <c r="D239" s="127">
        <v>12</v>
      </c>
      <c r="E239" s="127">
        <v>2.4E-2</v>
      </c>
      <c r="F239" s="227">
        <f>VLOOKUP(DUNGCU[[#This Row],[Danh mục dụng cụ]],Table1[[TÊN VẬT TƯ]:[ĐƠN GIÁ
 (Chưa VAT)]],3,0)</f>
        <v>135000</v>
      </c>
      <c r="G239" s="228">
        <f t="shared" ref="G239:G244" si="46">F239/D239/26</f>
        <v>432.69230769230768</v>
      </c>
      <c r="H239" s="228">
        <f t="shared" ref="H239:H244" si="47">G239*E239</f>
        <v>10.384615384615385</v>
      </c>
      <c r="I239" s="393"/>
    </row>
    <row r="240" spans="1:10" ht="15.75" x14ac:dyDescent="0.25">
      <c r="A240" s="79" t="s">
        <v>89</v>
      </c>
      <c r="B240" s="48" t="s">
        <v>198</v>
      </c>
      <c r="C240" s="127" t="s">
        <v>107</v>
      </c>
      <c r="D240" s="127">
        <v>60</v>
      </c>
      <c r="E240" s="127">
        <v>4.0000000000000001E-3</v>
      </c>
      <c r="F240" s="227">
        <f>VLOOKUP(DUNGCU[[#This Row],[Danh mục dụng cụ]],Table1[[TÊN VẬT TƯ]:[ĐƠN GIÁ
 (Chưa VAT)]],3,0)</f>
        <v>2454545</v>
      </c>
      <c r="G240" s="228">
        <f t="shared" si="46"/>
        <v>1573.4262820512822</v>
      </c>
      <c r="H240" s="228">
        <f t="shared" si="47"/>
        <v>6.2937051282051293</v>
      </c>
      <c r="I240" s="393"/>
    </row>
    <row r="241" spans="1:9" ht="15.75" x14ac:dyDescent="0.25">
      <c r="A241" s="79" t="s">
        <v>89</v>
      </c>
      <c r="B241" s="48" t="s">
        <v>263</v>
      </c>
      <c r="C241" s="127" t="s">
        <v>107</v>
      </c>
      <c r="D241" s="127">
        <v>60</v>
      </c>
      <c r="E241" s="127">
        <v>4.0000000000000001E-3</v>
      </c>
      <c r="F241" s="227">
        <f>VLOOKUP(DUNGCU[[#This Row],[Danh mục dụng cụ]],Table1[[TÊN VẬT TƯ]:[ĐƠN GIÁ
 (Chưa VAT)]],3,0)</f>
        <v>275000</v>
      </c>
      <c r="G241" s="228">
        <f t="shared" si="46"/>
        <v>176.28205128205127</v>
      </c>
      <c r="H241" s="228">
        <f t="shared" si="47"/>
        <v>0.70512820512820507</v>
      </c>
      <c r="I241" s="393"/>
    </row>
    <row r="242" spans="1:9" ht="15.75" x14ac:dyDescent="0.25">
      <c r="A242" s="79" t="s">
        <v>89</v>
      </c>
      <c r="B242" s="48" t="s">
        <v>199</v>
      </c>
      <c r="C242" s="127" t="s">
        <v>200</v>
      </c>
      <c r="D242" s="127">
        <v>36</v>
      </c>
      <c r="E242" s="127">
        <v>2.4E-2</v>
      </c>
      <c r="F242" s="227">
        <f>VLOOKUP(DUNGCU[[#This Row],[Danh mục dụng cụ]],Table1[[TÊN VẬT TƯ]:[ĐƠN GIÁ
 (Chưa VAT)]],3,0)</f>
        <v>105000</v>
      </c>
      <c r="G242" s="228">
        <f t="shared" si="46"/>
        <v>112.17948717948717</v>
      </c>
      <c r="H242" s="228">
        <f t="shared" si="47"/>
        <v>2.6923076923076921</v>
      </c>
      <c r="I242" s="393"/>
    </row>
    <row r="243" spans="1:9" ht="15.75" x14ac:dyDescent="0.25">
      <c r="A243" s="79" t="s">
        <v>89</v>
      </c>
      <c r="B243" s="48" t="s">
        <v>201</v>
      </c>
      <c r="C243" s="127" t="s">
        <v>107</v>
      </c>
      <c r="D243" s="127">
        <v>96</v>
      </c>
      <c r="E243" s="127">
        <v>2.4E-2</v>
      </c>
      <c r="F243" s="227">
        <f>VLOOKUP(DUNGCU[[#This Row],[Danh mục dụng cụ]],Table1[[TÊN VẬT TƯ]:[ĐƠN GIÁ
 (Chưa VAT)]],3,0)</f>
        <v>690000</v>
      </c>
      <c r="G243" s="228">
        <f t="shared" si="46"/>
        <v>276.44230769230768</v>
      </c>
      <c r="H243" s="228">
        <f t="shared" si="47"/>
        <v>6.6346153846153841</v>
      </c>
      <c r="I243" s="393"/>
    </row>
    <row r="244" spans="1:9" ht="15.75" x14ac:dyDescent="0.25">
      <c r="A244" s="79" t="s">
        <v>89</v>
      </c>
      <c r="B244" s="48" t="s">
        <v>202</v>
      </c>
      <c r="C244" s="127" t="s">
        <v>107</v>
      </c>
      <c r="D244" s="127">
        <v>96</v>
      </c>
      <c r="E244" s="127">
        <v>2.4E-2</v>
      </c>
      <c r="F244" s="227">
        <f>VLOOKUP(DUNGCU[[#This Row],[Danh mục dụng cụ]],Table1[[TÊN VẬT TƯ]:[ĐƠN GIÁ
 (Chưa VAT)]],3,0)</f>
        <v>1665000</v>
      </c>
      <c r="G244" s="228">
        <f t="shared" si="46"/>
        <v>667.06730769230774</v>
      </c>
      <c r="H244" s="228">
        <f t="shared" si="47"/>
        <v>16.009615384615387</v>
      </c>
      <c r="I244" s="393"/>
    </row>
    <row r="245" spans="1:9" ht="15.75" x14ac:dyDescent="0.25">
      <c r="A245" s="77" t="s">
        <v>150</v>
      </c>
      <c r="B245" s="251" t="s">
        <v>59</v>
      </c>
      <c r="C245" s="47" t="s">
        <v>302</v>
      </c>
      <c r="D245" s="47"/>
      <c r="E245" s="47"/>
      <c r="F245" s="256"/>
      <c r="G245" s="257"/>
      <c r="H245" s="257">
        <f>SUM(H246:H251)</f>
        <v>908.56779230769234</v>
      </c>
      <c r="I245" s="393"/>
    </row>
    <row r="246" spans="1:9" ht="15.75" x14ac:dyDescent="0.25">
      <c r="A246" s="79" t="s">
        <v>89</v>
      </c>
      <c r="B246" s="48" t="s">
        <v>239</v>
      </c>
      <c r="C246" s="127" t="s">
        <v>200</v>
      </c>
      <c r="D246" s="127">
        <v>12</v>
      </c>
      <c r="E246" s="127">
        <v>0.50839999999999996</v>
      </c>
      <c r="F246" s="227">
        <f>VLOOKUP(DUNGCU[[#This Row],[Danh mục dụng cụ]],Table1[[TÊN VẬT TƯ]:[ĐƠN GIÁ
 (Chưa VAT)]],3,0)</f>
        <v>135000</v>
      </c>
      <c r="G246" s="228">
        <f t="shared" ref="G246:G251" si="48">F246/D246/26</f>
        <v>432.69230769230768</v>
      </c>
      <c r="H246" s="228">
        <f t="shared" ref="H246:H251" si="49">G246*E246</f>
        <v>219.9807692307692</v>
      </c>
      <c r="I246" s="393"/>
    </row>
    <row r="247" spans="1:9" ht="15.75" x14ac:dyDescent="0.25">
      <c r="A247" s="79" t="s">
        <v>89</v>
      </c>
      <c r="B247" s="48" t="s">
        <v>198</v>
      </c>
      <c r="C247" s="127" t="s">
        <v>107</v>
      </c>
      <c r="D247" s="127">
        <v>60</v>
      </c>
      <c r="E247" s="127">
        <v>8.6800000000000002E-2</v>
      </c>
      <c r="F247" s="227">
        <f>VLOOKUP(DUNGCU[[#This Row],[Danh mục dụng cụ]],Table1[[TÊN VẬT TƯ]:[ĐƠN GIÁ
 (Chưa VAT)]],3,0)</f>
        <v>2454545</v>
      </c>
      <c r="G247" s="228">
        <f t="shared" si="48"/>
        <v>1573.4262820512822</v>
      </c>
      <c r="H247" s="228">
        <f t="shared" si="49"/>
        <v>136.57340128205129</v>
      </c>
      <c r="I247" s="393"/>
    </row>
    <row r="248" spans="1:9" ht="15.75" x14ac:dyDescent="0.25">
      <c r="A248" s="79" t="s">
        <v>89</v>
      </c>
      <c r="B248" s="48" t="s">
        <v>263</v>
      </c>
      <c r="C248" s="127" t="s">
        <v>107</v>
      </c>
      <c r="D248" s="127">
        <v>60</v>
      </c>
      <c r="E248" s="127">
        <v>8.6800000000000002E-2</v>
      </c>
      <c r="F248" s="227">
        <f>VLOOKUP(DUNGCU[[#This Row],[Danh mục dụng cụ]],Table1[[TÊN VẬT TƯ]:[ĐƠN GIÁ
 (Chưa VAT)]],3,0)</f>
        <v>275000</v>
      </c>
      <c r="G248" s="228">
        <f t="shared" si="48"/>
        <v>176.28205128205127</v>
      </c>
      <c r="H248" s="228">
        <f t="shared" si="49"/>
        <v>15.301282051282051</v>
      </c>
      <c r="I248" s="393"/>
    </row>
    <row r="249" spans="1:9" ht="15.75" x14ac:dyDescent="0.25">
      <c r="A249" s="79" t="s">
        <v>89</v>
      </c>
      <c r="B249" s="48" t="s">
        <v>199</v>
      </c>
      <c r="C249" s="127" t="s">
        <v>200</v>
      </c>
      <c r="D249" s="127">
        <v>36</v>
      </c>
      <c r="E249" s="127">
        <v>0.50839999999999996</v>
      </c>
      <c r="F249" s="227">
        <f>VLOOKUP(DUNGCU[[#This Row],[Danh mục dụng cụ]],Table1[[TÊN VẬT TƯ]:[ĐƠN GIÁ
 (Chưa VAT)]],3,0)</f>
        <v>105000</v>
      </c>
      <c r="G249" s="228">
        <f t="shared" si="48"/>
        <v>112.17948717948717</v>
      </c>
      <c r="H249" s="228">
        <f t="shared" si="49"/>
        <v>57.03205128205127</v>
      </c>
      <c r="I249" s="393"/>
    </row>
    <row r="250" spans="1:9" ht="15.75" x14ac:dyDescent="0.25">
      <c r="A250" s="79" t="s">
        <v>89</v>
      </c>
      <c r="B250" s="48" t="s">
        <v>201</v>
      </c>
      <c r="C250" s="127" t="s">
        <v>107</v>
      </c>
      <c r="D250" s="127">
        <v>96</v>
      </c>
      <c r="E250" s="127">
        <v>0.50839999999999996</v>
      </c>
      <c r="F250" s="227">
        <f>VLOOKUP(DUNGCU[[#This Row],[Danh mục dụng cụ]],Table1[[TÊN VẬT TƯ]:[ĐƠN GIÁ
 (Chưa VAT)]],3,0)</f>
        <v>690000</v>
      </c>
      <c r="G250" s="228">
        <f t="shared" si="48"/>
        <v>276.44230769230768</v>
      </c>
      <c r="H250" s="228">
        <f t="shared" si="49"/>
        <v>140.54326923076923</v>
      </c>
      <c r="I250" s="393"/>
    </row>
    <row r="251" spans="1:9" ht="15.75" x14ac:dyDescent="0.25">
      <c r="A251" s="79" t="s">
        <v>89</v>
      </c>
      <c r="B251" s="48" t="s">
        <v>202</v>
      </c>
      <c r="C251" s="127" t="s">
        <v>107</v>
      </c>
      <c r="D251" s="127">
        <v>96</v>
      </c>
      <c r="E251" s="127">
        <v>0.50839999999999996</v>
      </c>
      <c r="F251" s="227">
        <f>VLOOKUP(DUNGCU[[#This Row],[Danh mục dụng cụ]],Table1[[TÊN VẬT TƯ]:[ĐƠN GIÁ
 (Chưa VAT)]],3,0)</f>
        <v>1665000</v>
      </c>
      <c r="G251" s="228">
        <f t="shared" si="48"/>
        <v>667.06730769230774</v>
      </c>
      <c r="H251" s="228">
        <f t="shared" si="49"/>
        <v>339.13701923076923</v>
      </c>
      <c r="I251" s="393"/>
    </row>
    <row r="252" spans="1:9" ht="60" x14ac:dyDescent="0.25">
      <c r="A252" s="77" t="s">
        <v>151</v>
      </c>
      <c r="B252" s="251" t="s">
        <v>60</v>
      </c>
      <c r="C252" s="47" t="s">
        <v>267</v>
      </c>
      <c r="D252" s="47"/>
      <c r="E252" s="47"/>
      <c r="F252" s="256"/>
      <c r="G252" s="257"/>
      <c r="H252" s="257">
        <f>$H$174</f>
        <v>73.993382692307691</v>
      </c>
      <c r="I252" s="399" t="s">
        <v>299</v>
      </c>
    </row>
    <row r="253" spans="1:9" ht="15.75" x14ac:dyDescent="0.25">
      <c r="A253" s="77" t="s">
        <v>152</v>
      </c>
      <c r="B253" s="251" t="s">
        <v>61</v>
      </c>
      <c r="C253" s="47" t="s">
        <v>267</v>
      </c>
      <c r="D253" s="47"/>
      <c r="E253" s="47"/>
      <c r="F253" s="256"/>
      <c r="G253" s="257"/>
      <c r="H253" s="257">
        <f>$H$174</f>
        <v>73.993382692307691</v>
      </c>
      <c r="I253" s="400"/>
    </row>
    <row r="254" spans="1:9" ht="15.75" x14ac:dyDescent="0.25">
      <c r="A254" s="77" t="s">
        <v>153</v>
      </c>
      <c r="B254" s="251" t="s">
        <v>62</v>
      </c>
      <c r="C254" s="47"/>
      <c r="D254" s="47"/>
      <c r="E254" s="47"/>
      <c r="F254" s="256"/>
      <c r="G254" s="257"/>
      <c r="H254" s="257">
        <v>0</v>
      </c>
      <c r="I254" s="392" t="s">
        <v>54</v>
      </c>
    </row>
    <row r="255" spans="1:9" ht="15.75" x14ac:dyDescent="0.25">
      <c r="A255" s="78" t="s">
        <v>160</v>
      </c>
      <c r="B255" s="148" t="s">
        <v>63</v>
      </c>
      <c r="C255" s="127"/>
      <c r="D255" s="127"/>
      <c r="E255" s="127"/>
      <c r="F255" s="227"/>
      <c r="G255" s="228"/>
      <c r="H255" s="228"/>
      <c r="I255" s="395"/>
    </row>
    <row r="256" spans="1:9" ht="15.75" x14ac:dyDescent="0.25">
      <c r="A256" s="78"/>
      <c r="B256" s="379" t="s">
        <v>614</v>
      </c>
      <c r="C256" s="127"/>
      <c r="D256" s="127"/>
      <c r="E256" s="127"/>
      <c r="F256" s="227"/>
      <c r="G256" s="228"/>
      <c r="H256" s="228"/>
      <c r="I256" s="401"/>
    </row>
    <row r="257" spans="1:9" ht="15.75" x14ac:dyDescent="0.25">
      <c r="A257" s="232" t="s">
        <v>504</v>
      </c>
      <c r="B257" s="323" t="s">
        <v>505</v>
      </c>
      <c r="C257" s="231"/>
      <c r="D257" s="231"/>
      <c r="E257" s="231"/>
      <c r="F257" s="328"/>
      <c r="G257" s="326"/>
      <c r="H257" s="322">
        <f>H258+H259+H272+H284+H285+H286</f>
        <v>1372.7898974358975</v>
      </c>
      <c r="I257" s="402"/>
    </row>
    <row r="258" spans="1:9" ht="47.25" x14ac:dyDescent="0.25">
      <c r="A258" s="77" t="s">
        <v>154</v>
      </c>
      <c r="B258" s="251" t="s">
        <v>64</v>
      </c>
      <c r="C258" s="47"/>
      <c r="D258" s="47"/>
      <c r="E258" s="47"/>
      <c r="F258" s="256"/>
      <c r="G258" s="257"/>
      <c r="H258" s="257">
        <v>0</v>
      </c>
      <c r="I258" s="392" t="s">
        <v>629</v>
      </c>
    </row>
    <row r="259" spans="1:9" ht="15.75" x14ac:dyDescent="0.25">
      <c r="A259" s="77" t="s">
        <v>155</v>
      </c>
      <c r="B259" s="251" t="s">
        <v>65</v>
      </c>
      <c r="C259" s="47" t="s">
        <v>304</v>
      </c>
      <c r="D259" s="47"/>
      <c r="E259" s="47"/>
      <c r="F259" s="256"/>
      <c r="G259" s="257"/>
      <c r="H259" s="257">
        <f>SUM(H260:H271)</f>
        <v>715.00217948717955</v>
      </c>
      <c r="I259" s="393"/>
    </row>
    <row r="260" spans="1:9" ht="15.75" x14ac:dyDescent="0.25">
      <c r="A260" s="79" t="s">
        <v>89</v>
      </c>
      <c r="B260" s="48" t="s">
        <v>239</v>
      </c>
      <c r="C260" s="127" t="s">
        <v>200</v>
      </c>
      <c r="D260" s="127">
        <v>12</v>
      </c>
      <c r="E260" s="127">
        <v>0.14000000000000001</v>
      </c>
      <c r="F260" s="227">
        <f>VLOOKUP(DUNGCU[[#This Row],[Danh mục dụng cụ]],Table1[[TÊN VẬT TƯ]:[ĐƠN GIÁ
 (Chưa VAT)]],3,0)</f>
        <v>135000</v>
      </c>
      <c r="G260" s="228">
        <f t="shared" ref="G260:G271" si="50">F260/D260/26</f>
        <v>432.69230769230768</v>
      </c>
      <c r="H260" s="228">
        <f t="shared" ref="H260:H271" si="51">G260*E260</f>
        <v>60.57692307692308</v>
      </c>
      <c r="I260" s="393"/>
    </row>
    <row r="261" spans="1:9" ht="15.75" x14ac:dyDescent="0.25">
      <c r="A261" s="79" t="s">
        <v>89</v>
      </c>
      <c r="B261" s="48" t="s">
        <v>278</v>
      </c>
      <c r="C261" s="127" t="s">
        <v>107</v>
      </c>
      <c r="D261" s="127">
        <v>6</v>
      </c>
      <c r="E261" s="127">
        <v>0.14000000000000001</v>
      </c>
      <c r="F261" s="227">
        <f>VLOOKUP(DUNGCU[[#This Row],[Danh mục dụng cụ]],Table1[[TÊN VẬT TƯ]:[ĐƠN GIÁ
 (Chưa VAT)]],3,0)</f>
        <v>40000</v>
      </c>
      <c r="G261" s="228">
        <f t="shared" si="50"/>
        <v>256.41025641025641</v>
      </c>
      <c r="H261" s="228">
        <f t="shared" si="51"/>
        <v>35.897435897435898</v>
      </c>
      <c r="I261" s="393"/>
    </row>
    <row r="262" spans="1:9" ht="15.75" x14ac:dyDescent="0.25">
      <c r="A262" s="79" t="s">
        <v>89</v>
      </c>
      <c r="B262" s="48" t="s">
        <v>198</v>
      </c>
      <c r="C262" s="127" t="s">
        <v>107</v>
      </c>
      <c r="D262" s="127">
        <v>60</v>
      </c>
      <c r="E262" s="127">
        <v>0.02</v>
      </c>
      <c r="F262" s="227">
        <f>VLOOKUP(DUNGCU[[#This Row],[Danh mục dụng cụ]],Table1[[TÊN VẬT TƯ]:[ĐƠN GIÁ
 (Chưa VAT)]],3,0)</f>
        <v>2454545</v>
      </c>
      <c r="G262" s="228">
        <f t="shared" si="50"/>
        <v>1573.4262820512822</v>
      </c>
      <c r="H262" s="228">
        <f t="shared" si="51"/>
        <v>31.468525641025646</v>
      </c>
      <c r="I262" s="393"/>
    </row>
    <row r="263" spans="1:9" ht="15.75" x14ac:dyDescent="0.25">
      <c r="A263" s="79" t="s">
        <v>89</v>
      </c>
      <c r="B263" s="48" t="s">
        <v>263</v>
      </c>
      <c r="C263" s="127" t="s">
        <v>107</v>
      </c>
      <c r="D263" s="127">
        <v>60</v>
      </c>
      <c r="E263" s="127">
        <v>0.02</v>
      </c>
      <c r="F263" s="227">
        <f>VLOOKUP(DUNGCU[[#This Row],[Danh mục dụng cụ]],Table1[[TÊN VẬT TƯ]:[ĐƠN GIÁ
 (Chưa VAT)]],3,0)</f>
        <v>275000</v>
      </c>
      <c r="G263" s="228">
        <f t="shared" si="50"/>
        <v>176.28205128205127</v>
      </c>
      <c r="H263" s="228">
        <f t="shared" si="51"/>
        <v>3.5256410256410255</v>
      </c>
      <c r="I263" s="393"/>
    </row>
    <row r="264" spans="1:9" ht="15.75" x14ac:dyDescent="0.25">
      <c r="A264" s="79" t="s">
        <v>89</v>
      </c>
      <c r="B264" s="48" t="s">
        <v>199</v>
      </c>
      <c r="C264" s="127" t="s">
        <v>200</v>
      </c>
      <c r="D264" s="127">
        <v>36</v>
      </c>
      <c r="E264" s="127">
        <v>0.14000000000000001</v>
      </c>
      <c r="F264" s="227">
        <f>VLOOKUP(DUNGCU[[#This Row],[Danh mục dụng cụ]],Table1[[TÊN VẬT TƯ]:[ĐƠN GIÁ
 (Chưa VAT)]],3,0)</f>
        <v>105000</v>
      </c>
      <c r="G264" s="228">
        <f t="shared" si="50"/>
        <v>112.17948717948717</v>
      </c>
      <c r="H264" s="228">
        <f t="shared" si="51"/>
        <v>15.705128205128204</v>
      </c>
      <c r="I264" s="393"/>
    </row>
    <row r="265" spans="1:9" ht="15.75" x14ac:dyDescent="0.25">
      <c r="A265" s="79" t="s">
        <v>89</v>
      </c>
      <c r="B265" s="48" t="s">
        <v>473</v>
      </c>
      <c r="C265" s="127" t="s">
        <v>107</v>
      </c>
      <c r="D265" s="127">
        <v>60</v>
      </c>
      <c r="E265" s="127">
        <v>0.01</v>
      </c>
      <c r="F265" s="227">
        <f>VLOOKUP(DUNGCU[[#This Row],[Danh mục dụng cụ]],Table1[[TÊN VẬT TƯ]:[ĐƠN GIÁ
 (Chưa VAT)]],3,0)</f>
        <v>13350000</v>
      </c>
      <c r="G265" s="228">
        <f t="shared" si="50"/>
        <v>8557.6923076923085</v>
      </c>
      <c r="H265" s="228">
        <f t="shared" si="51"/>
        <v>85.57692307692308</v>
      </c>
      <c r="I265" s="393"/>
    </row>
    <row r="266" spans="1:9" ht="15.75" x14ac:dyDescent="0.25">
      <c r="A266" s="79" t="s">
        <v>89</v>
      </c>
      <c r="B266" s="48" t="s">
        <v>201</v>
      </c>
      <c r="C266" s="127" t="s">
        <v>107</v>
      </c>
      <c r="D266" s="127">
        <v>96</v>
      </c>
      <c r="E266" s="127">
        <v>0.14000000000000001</v>
      </c>
      <c r="F266" s="227">
        <f>VLOOKUP(DUNGCU[[#This Row],[Danh mục dụng cụ]],Table1[[TÊN VẬT TƯ]:[ĐƠN GIÁ
 (Chưa VAT)]],3,0)</f>
        <v>690000</v>
      </c>
      <c r="G266" s="228">
        <f t="shared" si="50"/>
        <v>276.44230769230768</v>
      </c>
      <c r="H266" s="228">
        <f t="shared" si="51"/>
        <v>38.70192307692308</v>
      </c>
      <c r="I266" s="393"/>
    </row>
    <row r="267" spans="1:9" ht="15.75" x14ac:dyDescent="0.25">
      <c r="A267" s="79" t="s">
        <v>89</v>
      </c>
      <c r="B267" s="48" t="s">
        <v>202</v>
      </c>
      <c r="C267" s="127" t="s">
        <v>107</v>
      </c>
      <c r="D267" s="127">
        <v>96</v>
      </c>
      <c r="E267" s="127">
        <v>0.14000000000000001</v>
      </c>
      <c r="F267" s="227">
        <f>VLOOKUP(DUNGCU[[#This Row],[Danh mục dụng cụ]],Table1[[TÊN VẬT TƯ]:[ĐƠN GIÁ
 (Chưa VAT)]],3,0)</f>
        <v>1665000</v>
      </c>
      <c r="G267" s="228">
        <f t="shared" si="50"/>
        <v>667.06730769230774</v>
      </c>
      <c r="H267" s="228">
        <f t="shared" si="51"/>
        <v>93.389423076923094</v>
      </c>
      <c r="I267" s="393"/>
    </row>
    <row r="268" spans="1:9" ht="15.75" x14ac:dyDescent="0.25">
      <c r="A268" s="79" t="s">
        <v>89</v>
      </c>
      <c r="B268" s="48" t="s">
        <v>250</v>
      </c>
      <c r="C268" s="127" t="s">
        <v>107</v>
      </c>
      <c r="D268" s="127">
        <v>96</v>
      </c>
      <c r="E268" s="127">
        <v>0.04</v>
      </c>
      <c r="F268" s="227">
        <f>VLOOKUP(DUNGCU[[#This Row],[Danh mục dụng cụ]],Table1[[TÊN VẬT TƯ]:[ĐƠN GIÁ
 (Chưa VAT)]],3,0)</f>
        <v>1882000</v>
      </c>
      <c r="G268" s="228">
        <f t="shared" si="50"/>
        <v>754.00641025641028</v>
      </c>
      <c r="H268" s="228">
        <f t="shared" si="51"/>
        <v>30.160256410256412</v>
      </c>
      <c r="I268" s="393"/>
    </row>
    <row r="269" spans="1:9" ht="15.75" x14ac:dyDescent="0.25">
      <c r="A269" s="79" t="s">
        <v>89</v>
      </c>
      <c r="B269" s="48" t="s">
        <v>305</v>
      </c>
      <c r="C269" s="127" t="s">
        <v>107</v>
      </c>
      <c r="D269" s="127">
        <v>12</v>
      </c>
      <c r="E269" s="127">
        <v>0.01</v>
      </c>
      <c r="F269" s="227">
        <f>VLOOKUP(DUNGCU[[#This Row],[Danh mục dụng cụ]],Table1[[TÊN VẬT TƯ]:[ĐƠN GIÁ
 (Chưa VAT)]],3,0)</f>
        <v>30000</v>
      </c>
      <c r="G269" s="228">
        <f t="shared" si="50"/>
        <v>96.15384615384616</v>
      </c>
      <c r="H269" s="228">
        <f t="shared" si="51"/>
        <v>0.96153846153846168</v>
      </c>
      <c r="I269" s="393"/>
    </row>
    <row r="270" spans="1:9" ht="15.75" x14ac:dyDescent="0.25">
      <c r="A270" s="79" t="s">
        <v>89</v>
      </c>
      <c r="B270" s="48" t="s">
        <v>306</v>
      </c>
      <c r="C270" s="127" t="s">
        <v>107</v>
      </c>
      <c r="D270" s="127">
        <v>60</v>
      </c>
      <c r="E270" s="127">
        <v>0.14000000000000001</v>
      </c>
      <c r="F270" s="227">
        <f>VLOOKUP(DUNGCU[[#This Row],[Danh mục dụng cụ]],Table1[[TÊN VẬT TƯ]:[ĐƠN GIÁ
 (Chưa VAT)]],3,0)</f>
        <v>3520000</v>
      </c>
      <c r="G270" s="228">
        <f t="shared" si="50"/>
        <v>2256.4102564102564</v>
      </c>
      <c r="H270" s="228">
        <f t="shared" si="51"/>
        <v>315.89743589743591</v>
      </c>
      <c r="I270" s="393"/>
    </row>
    <row r="271" spans="1:9" ht="15.75" x14ac:dyDescent="0.25">
      <c r="A271" s="79" t="s">
        <v>89</v>
      </c>
      <c r="B271" s="48" t="s">
        <v>307</v>
      </c>
      <c r="C271" s="127" t="s">
        <v>107</v>
      </c>
      <c r="D271" s="127">
        <v>36</v>
      </c>
      <c r="E271" s="127">
        <v>0.14000000000000001</v>
      </c>
      <c r="F271" s="227">
        <f>VLOOKUP(DUNGCU[[#This Row],[Danh mục dụng cụ]],Table1[[TÊN VẬT TƯ]:[ĐƠN GIÁ
 (Chưa VAT)]],3,0)</f>
        <v>21000</v>
      </c>
      <c r="G271" s="228">
        <f t="shared" si="50"/>
        <v>22.435897435897438</v>
      </c>
      <c r="H271" s="228">
        <f t="shared" si="51"/>
        <v>3.1410256410256414</v>
      </c>
      <c r="I271" s="393"/>
    </row>
    <row r="272" spans="1:9" ht="15.75" x14ac:dyDescent="0.25">
      <c r="A272" s="77" t="s">
        <v>156</v>
      </c>
      <c r="B272" s="251" t="s">
        <v>66</v>
      </c>
      <c r="C272" s="47" t="s">
        <v>304</v>
      </c>
      <c r="D272" s="47"/>
      <c r="E272" s="47"/>
      <c r="F272" s="256"/>
      <c r="G272" s="257"/>
      <c r="H272" s="257">
        <f>SUM(H273:H283)</f>
        <v>399.10474358974363</v>
      </c>
      <c r="I272" s="393"/>
    </row>
    <row r="273" spans="1:9" ht="15.75" x14ac:dyDescent="0.25">
      <c r="A273" s="79" t="s">
        <v>89</v>
      </c>
      <c r="B273" s="48" t="s">
        <v>239</v>
      </c>
      <c r="C273" s="127" t="s">
        <v>200</v>
      </c>
      <c r="D273" s="127">
        <v>12</v>
      </c>
      <c r="E273" s="127">
        <v>0.14000000000000001</v>
      </c>
      <c r="F273" s="227">
        <f>VLOOKUP(DUNGCU[[#This Row],[Danh mục dụng cụ]],Table1[[TÊN VẬT TƯ]:[ĐƠN GIÁ
 (Chưa VAT)]],3,0)</f>
        <v>135000</v>
      </c>
      <c r="G273" s="228">
        <f t="shared" ref="G273:G283" si="52">F273/D273/26</f>
        <v>432.69230769230768</v>
      </c>
      <c r="H273" s="228">
        <f t="shared" ref="H273:H283" si="53">G273*E273</f>
        <v>60.57692307692308</v>
      </c>
      <c r="I273" s="393"/>
    </row>
    <row r="274" spans="1:9" ht="15.75" x14ac:dyDescent="0.25">
      <c r="A274" s="79" t="s">
        <v>89</v>
      </c>
      <c r="B274" s="48" t="s">
        <v>278</v>
      </c>
      <c r="C274" s="127" t="s">
        <v>107</v>
      </c>
      <c r="D274" s="127">
        <v>6</v>
      </c>
      <c r="E274" s="127">
        <v>0.14000000000000001</v>
      </c>
      <c r="F274" s="227">
        <f>VLOOKUP(DUNGCU[[#This Row],[Danh mục dụng cụ]],Table1[[TÊN VẬT TƯ]:[ĐƠN GIÁ
 (Chưa VAT)]],3,0)</f>
        <v>40000</v>
      </c>
      <c r="G274" s="228">
        <f t="shared" si="52"/>
        <v>256.41025641025641</v>
      </c>
      <c r="H274" s="228">
        <f t="shared" si="53"/>
        <v>35.897435897435898</v>
      </c>
      <c r="I274" s="393"/>
    </row>
    <row r="275" spans="1:9" ht="15.75" x14ac:dyDescent="0.25">
      <c r="A275" s="79" t="s">
        <v>89</v>
      </c>
      <c r="B275" s="48" t="s">
        <v>198</v>
      </c>
      <c r="C275" s="127" t="s">
        <v>107</v>
      </c>
      <c r="D275" s="127">
        <v>60</v>
      </c>
      <c r="E275" s="127">
        <v>0.02</v>
      </c>
      <c r="F275" s="227">
        <f>VLOOKUP(DUNGCU[[#This Row],[Danh mục dụng cụ]],Table1[[TÊN VẬT TƯ]:[ĐƠN GIÁ
 (Chưa VAT)]],3,0)</f>
        <v>2454545</v>
      </c>
      <c r="G275" s="228">
        <f t="shared" si="52"/>
        <v>1573.4262820512822</v>
      </c>
      <c r="H275" s="228">
        <f t="shared" si="53"/>
        <v>31.468525641025646</v>
      </c>
      <c r="I275" s="393"/>
    </row>
    <row r="276" spans="1:9" ht="15.75" x14ac:dyDescent="0.25">
      <c r="A276" s="79" t="s">
        <v>89</v>
      </c>
      <c r="B276" s="48" t="s">
        <v>263</v>
      </c>
      <c r="C276" s="127" t="s">
        <v>107</v>
      </c>
      <c r="D276" s="127">
        <v>60</v>
      </c>
      <c r="E276" s="127">
        <v>0.02</v>
      </c>
      <c r="F276" s="227">
        <f>VLOOKUP(DUNGCU[[#This Row],[Danh mục dụng cụ]],Table1[[TÊN VẬT TƯ]:[ĐƠN GIÁ
 (Chưa VAT)]],3,0)</f>
        <v>275000</v>
      </c>
      <c r="G276" s="228">
        <f t="shared" si="52"/>
        <v>176.28205128205127</v>
      </c>
      <c r="H276" s="228">
        <f t="shared" si="53"/>
        <v>3.5256410256410255</v>
      </c>
      <c r="I276" s="393"/>
    </row>
    <row r="277" spans="1:9" ht="15.75" x14ac:dyDescent="0.25">
      <c r="A277" s="79" t="s">
        <v>89</v>
      </c>
      <c r="B277" s="48" t="s">
        <v>199</v>
      </c>
      <c r="C277" s="127" t="s">
        <v>200</v>
      </c>
      <c r="D277" s="127">
        <v>36</v>
      </c>
      <c r="E277" s="127">
        <v>0.14000000000000001</v>
      </c>
      <c r="F277" s="227">
        <f>VLOOKUP(DUNGCU[[#This Row],[Danh mục dụng cụ]],Table1[[TÊN VẬT TƯ]:[ĐƠN GIÁ
 (Chưa VAT)]],3,0)</f>
        <v>105000</v>
      </c>
      <c r="G277" s="228">
        <f t="shared" si="52"/>
        <v>112.17948717948717</v>
      </c>
      <c r="H277" s="228">
        <f t="shared" si="53"/>
        <v>15.705128205128204</v>
      </c>
      <c r="I277" s="393"/>
    </row>
    <row r="278" spans="1:9" ht="15.75" x14ac:dyDescent="0.25">
      <c r="A278" s="79" t="s">
        <v>89</v>
      </c>
      <c r="B278" s="48" t="s">
        <v>473</v>
      </c>
      <c r="C278" s="127" t="s">
        <v>107</v>
      </c>
      <c r="D278" s="127">
        <v>60</v>
      </c>
      <c r="E278" s="127">
        <v>0.01</v>
      </c>
      <c r="F278" s="227">
        <f>VLOOKUP(DUNGCU[[#This Row],[Danh mục dụng cụ]],Table1[[TÊN VẬT TƯ]:[ĐƠN GIÁ
 (Chưa VAT)]],3,0)</f>
        <v>13350000</v>
      </c>
      <c r="G278" s="228">
        <f t="shared" si="52"/>
        <v>8557.6923076923085</v>
      </c>
      <c r="H278" s="228">
        <f t="shared" si="53"/>
        <v>85.57692307692308</v>
      </c>
      <c r="I278" s="393"/>
    </row>
    <row r="279" spans="1:9" ht="15.75" x14ac:dyDescent="0.25">
      <c r="A279" s="79" t="s">
        <v>89</v>
      </c>
      <c r="B279" s="48" t="s">
        <v>201</v>
      </c>
      <c r="C279" s="127" t="s">
        <v>107</v>
      </c>
      <c r="D279" s="127">
        <v>96</v>
      </c>
      <c r="E279" s="127">
        <v>0.14000000000000001</v>
      </c>
      <c r="F279" s="227">
        <f>VLOOKUP(DUNGCU[[#This Row],[Danh mục dụng cụ]],Table1[[TÊN VẬT TƯ]:[ĐƠN GIÁ
 (Chưa VAT)]],3,0)</f>
        <v>690000</v>
      </c>
      <c r="G279" s="228">
        <f t="shared" si="52"/>
        <v>276.44230769230768</v>
      </c>
      <c r="H279" s="228">
        <f t="shared" si="53"/>
        <v>38.70192307692308</v>
      </c>
      <c r="I279" s="393"/>
    </row>
    <row r="280" spans="1:9" ht="15.75" x14ac:dyDescent="0.25">
      <c r="A280" s="79" t="s">
        <v>89</v>
      </c>
      <c r="B280" s="48" t="s">
        <v>202</v>
      </c>
      <c r="C280" s="127" t="s">
        <v>107</v>
      </c>
      <c r="D280" s="127">
        <v>96</v>
      </c>
      <c r="E280" s="127">
        <v>0.14000000000000001</v>
      </c>
      <c r="F280" s="227">
        <f>VLOOKUP(DUNGCU[[#This Row],[Danh mục dụng cụ]],Table1[[TÊN VẬT TƯ]:[ĐƠN GIÁ
 (Chưa VAT)]],3,0)</f>
        <v>1665000</v>
      </c>
      <c r="G280" s="228">
        <f t="shared" si="52"/>
        <v>667.06730769230774</v>
      </c>
      <c r="H280" s="228">
        <f t="shared" si="53"/>
        <v>93.389423076923094</v>
      </c>
      <c r="I280" s="393"/>
    </row>
    <row r="281" spans="1:9" ht="15.75" x14ac:dyDescent="0.25">
      <c r="A281" s="79" t="s">
        <v>89</v>
      </c>
      <c r="B281" s="48" t="s">
        <v>250</v>
      </c>
      <c r="C281" s="127" t="s">
        <v>107</v>
      </c>
      <c r="D281" s="127">
        <v>96</v>
      </c>
      <c r="E281" s="127">
        <v>0.04</v>
      </c>
      <c r="F281" s="227">
        <f>VLOOKUP(DUNGCU[[#This Row],[Danh mục dụng cụ]],Table1[[TÊN VẬT TƯ]:[ĐƠN GIÁ
 (Chưa VAT)]],3,0)</f>
        <v>1882000</v>
      </c>
      <c r="G281" s="228">
        <f t="shared" si="52"/>
        <v>754.00641025641028</v>
      </c>
      <c r="H281" s="228">
        <f t="shared" si="53"/>
        <v>30.160256410256412</v>
      </c>
      <c r="I281" s="393"/>
    </row>
    <row r="282" spans="1:9" ht="15.75" x14ac:dyDescent="0.25">
      <c r="A282" s="79" t="s">
        <v>89</v>
      </c>
      <c r="B282" s="48" t="s">
        <v>305</v>
      </c>
      <c r="C282" s="127" t="s">
        <v>107</v>
      </c>
      <c r="D282" s="127">
        <v>12</v>
      </c>
      <c r="E282" s="127">
        <v>0.01</v>
      </c>
      <c r="F282" s="227">
        <f>VLOOKUP(DUNGCU[[#This Row],[Danh mục dụng cụ]],Table1[[TÊN VẬT TƯ]:[ĐƠN GIÁ
 (Chưa VAT)]],3,0)</f>
        <v>30000</v>
      </c>
      <c r="G282" s="228">
        <f t="shared" si="52"/>
        <v>96.15384615384616</v>
      </c>
      <c r="H282" s="228">
        <f t="shared" si="53"/>
        <v>0.96153846153846168</v>
      </c>
      <c r="I282" s="393"/>
    </row>
    <row r="283" spans="1:9" ht="15.75" x14ac:dyDescent="0.25">
      <c r="A283" s="79" t="s">
        <v>89</v>
      </c>
      <c r="B283" s="48" t="s">
        <v>307</v>
      </c>
      <c r="C283" s="127" t="s">
        <v>107</v>
      </c>
      <c r="D283" s="127">
        <v>36</v>
      </c>
      <c r="E283" s="127">
        <v>0.14000000000000001</v>
      </c>
      <c r="F283" s="227">
        <f>VLOOKUP(DUNGCU[[#This Row],[Danh mục dụng cụ]],Table1[[TÊN VẬT TƯ]:[ĐƠN GIÁ
 (Chưa VAT)]],3,0)</f>
        <v>21000</v>
      </c>
      <c r="G283" s="228">
        <f t="shared" si="52"/>
        <v>22.435897435897438</v>
      </c>
      <c r="H283" s="228">
        <f t="shared" si="53"/>
        <v>3.1410256410256414</v>
      </c>
      <c r="I283" s="393"/>
    </row>
    <row r="284" spans="1:9" ht="15.75" x14ac:dyDescent="0.25">
      <c r="A284" s="77" t="s">
        <v>157</v>
      </c>
      <c r="B284" s="251" t="s">
        <v>67</v>
      </c>
      <c r="C284" s="47"/>
      <c r="D284" s="47"/>
      <c r="E284" s="47"/>
      <c r="F284" s="256"/>
      <c r="G284" s="257"/>
      <c r="H284" s="257">
        <v>0</v>
      </c>
      <c r="I284" s="392" t="s">
        <v>629</v>
      </c>
    </row>
    <row r="285" spans="1:9" ht="15.75" x14ac:dyDescent="0.25">
      <c r="A285" s="77" t="s">
        <v>158</v>
      </c>
      <c r="B285" s="251" t="s">
        <v>68</v>
      </c>
      <c r="C285" s="47"/>
      <c r="D285" s="47"/>
      <c r="E285" s="47"/>
      <c r="F285" s="256"/>
      <c r="G285" s="257"/>
      <c r="H285" s="257">
        <v>0</v>
      </c>
      <c r="I285" s="392" t="s">
        <v>629</v>
      </c>
    </row>
    <row r="286" spans="1:9" ht="30" x14ac:dyDescent="0.25">
      <c r="A286" s="77" t="s">
        <v>159</v>
      </c>
      <c r="B286" s="251" t="s">
        <v>69</v>
      </c>
      <c r="C286" s="47"/>
      <c r="D286" s="47"/>
      <c r="E286" s="47"/>
      <c r="F286" s="256"/>
      <c r="G286" s="257"/>
      <c r="H286" s="257">
        <f>$H$205</f>
        <v>258.68297435897438</v>
      </c>
      <c r="I286" s="395" t="s">
        <v>328</v>
      </c>
    </row>
    <row r="287" spans="1:9" ht="15.75" x14ac:dyDescent="0.25">
      <c r="A287" s="232" t="s">
        <v>506</v>
      </c>
      <c r="B287" s="323" t="s">
        <v>507</v>
      </c>
      <c r="C287" s="231"/>
      <c r="D287" s="231"/>
      <c r="E287" s="231"/>
      <c r="F287" s="328"/>
      <c r="G287" s="326"/>
      <c r="H287" s="322">
        <f>SUM(H288:H293)</f>
        <v>1149.9685128205131</v>
      </c>
      <c r="I287" s="396" t="s">
        <v>521</v>
      </c>
    </row>
    <row r="288" spans="1:9" ht="47.25" x14ac:dyDescent="0.25">
      <c r="A288" s="77" t="s">
        <v>154</v>
      </c>
      <c r="B288" s="251" t="s">
        <v>64</v>
      </c>
      <c r="C288" s="47"/>
      <c r="D288" s="47"/>
      <c r="E288" s="47"/>
      <c r="F288" s="256"/>
      <c r="G288" s="257"/>
      <c r="H288" s="257">
        <v>0</v>
      </c>
      <c r="I288" s="392" t="s">
        <v>629</v>
      </c>
    </row>
    <row r="289" spans="1:10" ht="15.75" x14ac:dyDescent="0.25">
      <c r="A289" s="77" t="s">
        <v>155</v>
      </c>
      <c r="B289" s="251" t="s">
        <v>65</v>
      </c>
      <c r="C289" s="47" t="s">
        <v>508</v>
      </c>
      <c r="D289" s="47"/>
      <c r="E289" s="47"/>
      <c r="F289" s="256"/>
      <c r="G289" s="257"/>
      <c r="H289" s="257">
        <f>$H$259*0.8</f>
        <v>572.00174358974368</v>
      </c>
      <c r="I289" s="393"/>
    </row>
    <row r="290" spans="1:10" ht="15.75" x14ac:dyDescent="0.25">
      <c r="A290" s="77" t="s">
        <v>156</v>
      </c>
      <c r="B290" s="251" t="s">
        <v>66</v>
      </c>
      <c r="C290" s="47" t="s">
        <v>508</v>
      </c>
      <c r="D290" s="47"/>
      <c r="E290" s="47"/>
      <c r="F290" s="256"/>
      <c r="G290" s="257"/>
      <c r="H290" s="257">
        <f>$H$272*0.8</f>
        <v>319.28379487179495</v>
      </c>
      <c r="I290" s="393"/>
    </row>
    <row r="291" spans="1:10" ht="15.75" x14ac:dyDescent="0.25">
      <c r="A291" s="77" t="s">
        <v>157</v>
      </c>
      <c r="B291" s="251" t="s">
        <v>67</v>
      </c>
      <c r="C291" s="47"/>
      <c r="D291" s="47"/>
      <c r="E291" s="47"/>
      <c r="F291" s="256"/>
      <c r="G291" s="257"/>
      <c r="H291" s="257">
        <v>0</v>
      </c>
      <c r="I291" s="392" t="s">
        <v>629</v>
      </c>
    </row>
    <row r="292" spans="1:10" ht="15.75" x14ac:dyDescent="0.25">
      <c r="A292" s="77" t="s">
        <v>158</v>
      </c>
      <c r="B292" s="251" t="s">
        <v>68</v>
      </c>
      <c r="C292" s="47"/>
      <c r="D292" s="47"/>
      <c r="E292" s="47"/>
      <c r="F292" s="256"/>
      <c r="G292" s="257"/>
      <c r="H292" s="257">
        <v>0</v>
      </c>
      <c r="I292" s="392" t="s">
        <v>629</v>
      </c>
    </row>
    <row r="293" spans="1:10" ht="30" x14ac:dyDescent="0.25">
      <c r="A293" s="77" t="s">
        <v>159</v>
      </c>
      <c r="B293" s="251" t="s">
        <v>69</v>
      </c>
      <c r="C293" s="47"/>
      <c r="D293" s="47"/>
      <c r="E293" s="47"/>
      <c r="F293" s="256"/>
      <c r="G293" s="257"/>
      <c r="H293" s="382">
        <f>$H$205</f>
        <v>258.68297435897438</v>
      </c>
      <c r="I293" s="395" t="s">
        <v>328</v>
      </c>
    </row>
    <row r="294" spans="1:10" ht="15.75" x14ac:dyDescent="0.25">
      <c r="A294" s="232" t="s">
        <v>509</v>
      </c>
      <c r="B294" s="323" t="s">
        <v>510</v>
      </c>
      <c r="C294" s="231"/>
      <c r="D294" s="231"/>
      <c r="E294" s="231"/>
      <c r="F294" s="328"/>
      <c r="G294" s="326"/>
      <c r="H294" s="322">
        <f>SUM(H295:H300)</f>
        <v>1929.8433589743593</v>
      </c>
      <c r="I294" s="396" t="s">
        <v>522</v>
      </c>
    </row>
    <row r="295" spans="1:10" ht="47.25" x14ac:dyDescent="0.25">
      <c r="A295" s="77" t="s">
        <v>154</v>
      </c>
      <c r="B295" s="251" t="s">
        <v>64</v>
      </c>
      <c r="C295" s="47"/>
      <c r="D295" s="47"/>
      <c r="E295" s="47"/>
      <c r="F295" s="256"/>
      <c r="G295" s="257"/>
      <c r="H295" s="257">
        <v>0</v>
      </c>
      <c r="I295" s="392" t="s">
        <v>629</v>
      </c>
    </row>
    <row r="296" spans="1:10" ht="15.75" x14ac:dyDescent="0.25">
      <c r="A296" s="77" t="s">
        <v>155</v>
      </c>
      <c r="B296" s="251" t="s">
        <v>65</v>
      </c>
      <c r="C296" s="47" t="s">
        <v>511</v>
      </c>
      <c r="D296" s="47"/>
      <c r="E296" s="47"/>
      <c r="F296" s="256"/>
      <c r="G296" s="257"/>
      <c r="H296" s="257">
        <f>$H$259*1.5</f>
        <v>1072.5032692307693</v>
      </c>
      <c r="I296" s="393"/>
    </row>
    <row r="297" spans="1:10" ht="15.75" x14ac:dyDescent="0.25">
      <c r="A297" s="77" t="s">
        <v>156</v>
      </c>
      <c r="B297" s="251" t="s">
        <v>66</v>
      </c>
      <c r="C297" s="47" t="s">
        <v>511</v>
      </c>
      <c r="D297" s="47"/>
      <c r="E297" s="47"/>
      <c r="F297" s="256"/>
      <c r="G297" s="257"/>
      <c r="H297" s="257">
        <f>$H$272*1.5</f>
        <v>598.65711538461551</v>
      </c>
      <c r="I297" s="393"/>
    </row>
    <row r="298" spans="1:10" ht="15.75" x14ac:dyDescent="0.25">
      <c r="A298" s="77" t="s">
        <v>157</v>
      </c>
      <c r="B298" s="251" t="s">
        <v>67</v>
      </c>
      <c r="C298" s="47"/>
      <c r="D298" s="47"/>
      <c r="E298" s="47"/>
      <c r="F298" s="256"/>
      <c r="G298" s="257"/>
      <c r="H298" s="257">
        <v>0</v>
      </c>
      <c r="I298" s="392" t="s">
        <v>629</v>
      </c>
    </row>
    <row r="299" spans="1:10" ht="15.75" x14ac:dyDescent="0.25">
      <c r="A299" s="77" t="s">
        <v>158</v>
      </c>
      <c r="B299" s="251" t="s">
        <v>68</v>
      </c>
      <c r="C299" s="47"/>
      <c r="D299" s="47"/>
      <c r="E299" s="47"/>
      <c r="F299" s="256"/>
      <c r="G299" s="257"/>
      <c r="H299" s="257">
        <v>0</v>
      </c>
      <c r="I299" s="392" t="s">
        <v>629</v>
      </c>
    </row>
    <row r="300" spans="1:10" ht="30" x14ac:dyDescent="0.25">
      <c r="A300" s="77" t="s">
        <v>159</v>
      </c>
      <c r="B300" s="251" t="s">
        <v>69</v>
      </c>
      <c r="C300" s="47"/>
      <c r="D300" s="47"/>
      <c r="E300" s="47"/>
      <c r="F300" s="256"/>
      <c r="G300" s="257"/>
      <c r="H300" s="382">
        <f>$H$205</f>
        <v>258.68297435897438</v>
      </c>
      <c r="I300" s="395" t="s">
        <v>328</v>
      </c>
    </row>
    <row r="301" spans="1:10" ht="15.75" x14ac:dyDescent="0.25">
      <c r="A301" s="232" t="s">
        <v>512</v>
      </c>
      <c r="B301" s="323" t="s">
        <v>513</v>
      </c>
      <c r="C301" s="231"/>
      <c r="D301" s="231"/>
      <c r="E301" s="231"/>
      <c r="F301" s="328"/>
      <c r="G301" s="326"/>
      <c r="H301" s="322">
        <f>SUM(H302:H307)</f>
        <v>3043.9502820512821</v>
      </c>
      <c r="I301" s="396" t="s">
        <v>523</v>
      </c>
    </row>
    <row r="302" spans="1:10" ht="47.25" x14ac:dyDescent="0.25">
      <c r="A302" s="77" t="s">
        <v>154</v>
      </c>
      <c r="B302" s="251" t="s">
        <v>64</v>
      </c>
      <c r="C302" s="47"/>
      <c r="D302" s="47"/>
      <c r="E302" s="47"/>
      <c r="F302" s="256"/>
      <c r="G302" s="257"/>
      <c r="H302" s="257">
        <v>0</v>
      </c>
      <c r="I302" s="392" t="s">
        <v>629</v>
      </c>
    </row>
    <row r="303" spans="1:10" ht="15.75" x14ac:dyDescent="0.25">
      <c r="A303" s="77" t="s">
        <v>155</v>
      </c>
      <c r="B303" s="251" t="s">
        <v>65</v>
      </c>
      <c r="C303" s="47" t="s">
        <v>514</v>
      </c>
      <c r="D303" s="47"/>
      <c r="E303" s="47"/>
      <c r="F303" s="256"/>
      <c r="G303" s="257"/>
      <c r="H303" s="257">
        <f>$H$259*2.5</f>
        <v>1787.5054487179489</v>
      </c>
      <c r="I303" s="393"/>
    </row>
    <row r="304" spans="1:10" ht="15.75" x14ac:dyDescent="0.25">
      <c r="A304" s="77" t="s">
        <v>156</v>
      </c>
      <c r="B304" s="251" t="s">
        <v>66</v>
      </c>
      <c r="C304" s="47" t="s">
        <v>514</v>
      </c>
      <c r="D304" s="47"/>
      <c r="E304" s="47"/>
      <c r="F304" s="256"/>
      <c r="G304" s="257"/>
      <c r="H304" s="257">
        <f>$H$272*2.5</f>
        <v>997.76185897435903</v>
      </c>
      <c r="I304" s="393"/>
      <c r="J304" s="26"/>
    </row>
    <row r="305" spans="1:9" ht="15.75" x14ac:dyDescent="0.25">
      <c r="A305" s="77" t="s">
        <v>157</v>
      </c>
      <c r="B305" s="251" t="s">
        <v>67</v>
      </c>
      <c r="C305" s="47"/>
      <c r="D305" s="47"/>
      <c r="E305" s="47"/>
      <c r="F305" s="256"/>
      <c r="G305" s="257"/>
      <c r="H305" s="257">
        <v>0</v>
      </c>
      <c r="I305" s="392" t="s">
        <v>629</v>
      </c>
    </row>
    <row r="306" spans="1:9" ht="15.75" x14ac:dyDescent="0.25">
      <c r="A306" s="77" t="s">
        <v>158</v>
      </c>
      <c r="B306" s="251" t="s">
        <v>68</v>
      </c>
      <c r="C306" s="47"/>
      <c r="D306" s="47"/>
      <c r="E306" s="47"/>
      <c r="F306" s="256"/>
      <c r="G306" s="257"/>
      <c r="H306" s="257">
        <v>0</v>
      </c>
      <c r="I306" s="392" t="s">
        <v>629</v>
      </c>
    </row>
    <row r="307" spans="1:9" ht="30" x14ac:dyDescent="0.25">
      <c r="A307" s="77" t="s">
        <v>159</v>
      </c>
      <c r="B307" s="251" t="s">
        <v>69</v>
      </c>
      <c r="C307" s="47"/>
      <c r="D307" s="47"/>
      <c r="E307" s="47"/>
      <c r="F307" s="256"/>
      <c r="G307" s="257"/>
      <c r="H307" s="382">
        <f>$H$205</f>
        <v>258.68297435897438</v>
      </c>
      <c r="I307" s="395" t="s">
        <v>328</v>
      </c>
    </row>
    <row r="308" spans="1:9" ht="15.75" x14ac:dyDescent="0.25">
      <c r="A308" s="232" t="s">
        <v>515</v>
      </c>
      <c r="B308" s="323" t="s">
        <v>516</v>
      </c>
      <c r="C308" s="231"/>
      <c r="D308" s="231"/>
      <c r="E308" s="231"/>
      <c r="F308" s="328"/>
      <c r="G308" s="326"/>
      <c r="H308" s="322">
        <f>SUM(H309:H314)</f>
        <v>5829.21758974359</v>
      </c>
      <c r="I308" s="396" t="s">
        <v>524</v>
      </c>
    </row>
    <row r="309" spans="1:9" ht="47.25" x14ac:dyDescent="0.25">
      <c r="A309" s="77" t="s">
        <v>154</v>
      </c>
      <c r="B309" s="251" t="s">
        <v>64</v>
      </c>
      <c r="C309" s="47"/>
      <c r="D309" s="47"/>
      <c r="E309" s="47"/>
      <c r="F309" s="256"/>
      <c r="G309" s="257"/>
      <c r="H309" s="257">
        <v>0</v>
      </c>
      <c r="I309" s="392" t="s">
        <v>629</v>
      </c>
    </row>
    <row r="310" spans="1:9" ht="15.75" x14ac:dyDescent="0.25">
      <c r="A310" s="77" t="s">
        <v>155</v>
      </c>
      <c r="B310" s="251" t="s">
        <v>65</v>
      </c>
      <c r="C310" s="47" t="s">
        <v>517</v>
      </c>
      <c r="D310" s="47"/>
      <c r="E310" s="47"/>
      <c r="F310" s="256"/>
      <c r="G310" s="257"/>
      <c r="H310" s="257">
        <f>$H$259*5</f>
        <v>3575.0108974358977</v>
      </c>
      <c r="I310" s="393"/>
    </row>
    <row r="311" spans="1:9" ht="15.75" x14ac:dyDescent="0.25">
      <c r="A311" s="77" t="s">
        <v>156</v>
      </c>
      <c r="B311" s="251" t="s">
        <v>66</v>
      </c>
      <c r="C311" s="47" t="s">
        <v>517</v>
      </c>
      <c r="D311" s="47"/>
      <c r="E311" s="47"/>
      <c r="F311" s="256"/>
      <c r="G311" s="257"/>
      <c r="H311" s="257">
        <f>$H$272*5</f>
        <v>1995.5237179487181</v>
      </c>
      <c r="I311" s="393"/>
    </row>
    <row r="312" spans="1:9" ht="15.75" x14ac:dyDescent="0.25">
      <c r="A312" s="77" t="s">
        <v>157</v>
      </c>
      <c r="B312" s="251" t="s">
        <v>67</v>
      </c>
      <c r="C312" s="47"/>
      <c r="D312" s="47"/>
      <c r="E312" s="47"/>
      <c r="F312" s="256"/>
      <c r="G312" s="257"/>
      <c r="H312" s="257">
        <v>0</v>
      </c>
      <c r="I312" s="392" t="s">
        <v>629</v>
      </c>
    </row>
    <row r="313" spans="1:9" ht="15.75" x14ac:dyDescent="0.25">
      <c r="A313" s="77" t="s">
        <v>158</v>
      </c>
      <c r="B313" s="251" t="s">
        <v>68</v>
      </c>
      <c r="C313" s="47"/>
      <c r="D313" s="47"/>
      <c r="E313" s="47"/>
      <c r="F313" s="256"/>
      <c r="G313" s="257"/>
      <c r="H313" s="257">
        <v>0</v>
      </c>
      <c r="I313" s="392" t="s">
        <v>629</v>
      </c>
    </row>
    <row r="314" spans="1:9" ht="30" x14ac:dyDescent="0.25">
      <c r="A314" s="77" t="s">
        <v>159</v>
      </c>
      <c r="B314" s="251" t="s">
        <v>69</v>
      </c>
      <c r="C314" s="47"/>
      <c r="D314" s="47"/>
      <c r="E314" s="47"/>
      <c r="F314" s="256"/>
      <c r="G314" s="257"/>
      <c r="H314" s="382">
        <f>$H$205</f>
        <v>258.68297435897438</v>
      </c>
      <c r="I314" s="395" t="s">
        <v>328</v>
      </c>
    </row>
    <row r="315" spans="1:9" ht="15.75" x14ac:dyDescent="0.25">
      <c r="A315" s="232" t="s">
        <v>518</v>
      </c>
      <c r="B315" s="323" t="s">
        <v>519</v>
      </c>
      <c r="C315" s="231"/>
      <c r="D315" s="231"/>
      <c r="E315" s="231"/>
      <c r="F315" s="328"/>
      <c r="G315" s="326"/>
      <c r="H315" s="322">
        <f>SUM(H316:H321)</f>
        <v>11399.752205128207</v>
      </c>
      <c r="I315" s="396" t="s">
        <v>525</v>
      </c>
    </row>
    <row r="316" spans="1:9" ht="47.25" x14ac:dyDescent="0.25">
      <c r="A316" s="77" t="s">
        <v>154</v>
      </c>
      <c r="B316" s="251" t="s">
        <v>64</v>
      </c>
      <c r="C316" s="47"/>
      <c r="D316" s="47"/>
      <c r="E316" s="47"/>
      <c r="F316" s="256"/>
      <c r="G316" s="257"/>
      <c r="H316" s="257">
        <v>0</v>
      </c>
      <c r="I316" s="392" t="s">
        <v>629</v>
      </c>
    </row>
    <row r="317" spans="1:9" ht="15.75" x14ac:dyDescent="0.25">
      <c r="A317" s="77" t="s">
        <v>155</v>
      </c>
      <c r="B317" s="251" t="s">
        <v>65</v>
      </c>
      <c r="C317" s="47" t="s">
        <v>520</v>
      </c>
      <c r="D317" s="47"/>
      <c r="E317" s="47"/>
      <c r="F317" s="256"/>
      <c r="G317" s="257"/>
      <c r="H317" s="257">
        <f>$H$259*10</f>
        <v>7150.0217948717955</v>
      </c>
      <c r="I317" s="393"/>
    </row>
    <row r="318" spans="1:9" ht="15.75" x14ac:dyDescent="0.25">
      <c r="A318" s="77" t="s">
        <v>156</v>
      </c>
      <c r="B318" s="251" t="s">
        <v>66</v>
      </c>
      <c r="C318" s="47" t="s">
        <v>520</v>
      </c>
      <c r="D318" s="47"/>
      <c r="E318" s="47"/>
      <c r="F318" s="256"/>
      <c r="G318" s="257"/>
      <c r="H318" s="257">
        <f>$H$272*10</f>
        <v>3991.0474358974361</v>
      </c>
      <c r="I318" s="393"/>
    </row>
    <row r="319" spans="1:9" ht="15.75" x14ac:dyDescent="0.25">
      <c r="A319" s="77" t="s">
        <v>157</v>
      </c>
      <c r="B319" s="251" t="s">
        <v>67</v>
      </c>
      <c r="C319" s="47"/>
      <c r="D319" s="47"/>
      <c r="E319" s="47"/>
      <c r="F319" s="256"/>
      <c r="G319" s="257"/>
      <c r="H319" s="257">
        <v>0</v>
      </c>
      <c r="I319" s="392" t="s">
        <v>629</v>
      </c>
    </row>
    <row r="320" spans="1:9" ht="15.75" x14ac:dyDescent="0.25">
      <c r="A320" s="77" t="s">
        <v>158</v>
      </c>
      <c r="B320" s="251" t="s">
        <v>68</v>
      </c>
      <c r="C320" s="47"/>
      <c r="D320" s="47"/>
      <c r="E320" s="47"/>
      <c r="F320" s="256"/>
      <c r="G320" s="257"/>
      <c r="H320" s="257">
        <v>0</v>
      </c>
      <c r="I320" s="392" t="s">
        <v>629</v>
      </c>
    </row>
    <row r="321" spans="1:10" ht="30" x14ac:dyDescent="0.25">
      <c r="A321" s="77" t="s">
        <v>159</v>
      </c>
      <c r="B321" s="251" t="s">
        <v>69</v>
      </c>
      <c r="C321" s="47"/>
      <c r="D321" s="47"/>
      <c r="E321" s="47"/>
      <c r="F321" s="256"/>
      <c r="G321" s="257"/>
      <c r="H321" s="382">
        <f>$H$205</f>
        <v>258.68297435897438</v>
      </c>
      <c r="I321" s="395" t="s">
        <v>328</v>
      </c>
    </row>
    <row r="322" spans="1:10" ht="15.75" x14ac:dyDescent="0.25">
      <c r="A322" s="78"/>
      <c r="B322" s="379" t="s">
        <v>615</v>
      </c>
      <c r="C322" s="127"/>
      <c r="D322" s="127"/>
      <c r="E322" s="127"/>
      <c r="F322" s="227"/>
      <c r="G322" s="228"/>
      <c r="H322" s="228"/>
      <c r="I322" s="401" t="s">
        <v>616</v>
      </c>
    </row>
    <row r="323" spans="1:10" ht="15.75" x14ac:dyDescent="0.25">
      <c r="A323" s="232" t="s">
        <v>504</v>
      </c>
      <c r="B323" s="323" t="s">
        <v>505</v>
      </c>
      <c r="C323" s="231"/>
      <c r="D323" s="231"/>
      <c r="E323" s="231"/>
      <c r="F323" s="328"/>
      <c r="G323" s="326"/>
      <c r="H323" s="322">
        <f>SUM(H324:H329)</f>
        <v>2486.8968205128203</v>
      </c>
      <c r="I323" s="402"/>
    </row>
    <row r="324" spans="1:10" ht="47.25" x14ac:dyDescent="0.25">
      <c r="A324" s="77" t="s">
        <v>154</v>
      </c>
      <c r="B324" s="251" t="s">
        <v>64</v>
      </c>
      <c r="C324" s="47"/>
      <c r="D324" s="47"/>
      <c r="E324" s="47"/>
      <c r="F324" s="256"/>
      <c r="G324" s="257"/>
      <c r="H324" s="257">
        <f>H258*2</f>
        <v>0</v>
      </c>
      <c r="I324" s="392" t="s">
        <v>629</v>
      </c>
    </row>
    <row r="325" spans="1:10" ht="15.75" x14ac:dyDescent="0.25">
      <c r="A325" s="77" t="s">
        <v>155</v>
      </c>
      <c r="B325" s="251" t="s">
        <v>65</v>
      </c>
      <c r="C325" s="47" t="s">
        <v>304</v>
      </c>
      <c r="D325" s="47"/>
      <c r="E325" s="47"/>
      <c r="F325" s="256"/>
      <c r="G325" s="257"/>
      <c r="H325" s="257">
        <f>H259*2</f>
        <v>1430.0043589743591</v>
      </c>
      <c r="I325" s="393"/>
    </row>
    <row r="326" spans="1:10" ht="15.75" x14ac:dyDescent="0.25">
      <c r="A326" s="77" t="s">
        <v>156</v>
      </c>
      <c r="B326" s="251" t="s">
        <v>66</v>
      </c>
      <c r="C326" s="47" t="s">
        <v>304</v>
      </c>
      <c r="D326" s="47"/>
      <c r="E326" s="47"/>
      <c r="F326" s="256"/>
      <c r="G326" s="257"/>
      <c r="H326" s="257">
        <f>H272*2</f>
        <v>798.20948717948727</v>
      </c>
      <c r="I326" s="393"/>
    </row>
    <row r="327" spans="1:10" ht="15.75" x14ac:dyDescent="0.25">
      <c r="A327" s="77" t="s">
        <v>157</v>
      </c>
      <c r="B327" s="251" t="s">
        <v>67</v>
      </c>
      <c r="C327" s="47"/>
      <c r="D327" s="47"/>
      <c r="E327" s="47"/>
      <c r="F327" s="256"/>
      <c r="G327" s="257"/>
      <c r="H327" s="257">
        <f>H284*2</f>
        <v>0</v>
      </c>
      <c r="I327" s="392" t="s">
        <v>629</v>
      </c>
    </row>
    <row r="328" spans="1:10" ht="15.75" x14ac:dyDescent="0.25">
      <c r="A328" s="77" t="s">
        <v>158</v>
      </c>
      <c r="B328" s="251" t="s">
        <v>68</v>
      </c>
      <c r="C328" s="47"/>
      <c r="D328" s="47"/>
      <c r="E328" s="47"/>
      <c r="F328" s="256"/>
      <c r="G328" s="257"/>
      <c r="H328" s="257">
        <f>H285*2</f>
        <v>0</v>
      </c>
      <c r="I328" s="392" t="s">
        <v>629</v>
      </c>
    </row>
    <row r="329" spans="1:10" s="54" customFormat="1" ht="30" x14ac:dyDescent="0.25">
      <c r="A329" s="77" t="s">
        <v>159</v>
      </c>
      <c r="B329" s="251" t="s">
        <v>69</v>
      </c>
      <c r="C329" s="47"/>
      <c r="D329" s="47"/>
      <c r="E329" s="47"/>
      <c r="F329" s="256"/>
      <c r="G329" s="257"/>
      <c r="H329" s="257">
        <f>$H$205</f>
        <v>258.68297435897438</v>
      </c>
      <c r="I329" s="395" t="s">
        <v>328</v>
      </c>
    </row>
    <row r="330" spans="1:10" ht="15.75" x14ac:dyDescent="0.25">
      <c r="A330" s="232" t="s">
        <v>506</v>
      </c>
      <c r="B330" s="323" t="s">
        <v>507</v>
      </c>
      <c r="C330" s="231"/>
      <c r="D330" s="231"/>
      <c r="E330" s="231"/>
      <c r="F330" s="328"/>
      <c r="G330" s="326"/>
      <c r="H330" s="322">
        <f>SUM(H331:H336)</f>
        <v>2041.2540512820517</v>
      </c>
      <c r="I330" s="396" t="s">
        <v>521</v>
      </c>
    </row>
    <row r="331" spans="1:10" ht="47.25" x14ac:dyDescent="0.25">
      <c r="A331" s="77" t="s">
        <v>154</v>
      </c>
      <c r="B331" s="251" t="s">
        <v>64</v>
      </c>
      <c r="C331" s="47"/>
      <c r="D331" s="47"/>
      <c r="E331" s="47"/>
      <c r="F331" s="256"/>
      <c r="G331" s="257"/>
      <c r="H331" s="257">
        <f>H288*2</f>
        <v>0</v>
      </c>
      <c r="I331" s="392" t="s">
        <v>629</v>
      </c>
    </row>
    <row r="332" spans="1:10" ht="15.75" x14ac:dyDescent="0.25">
      <c r="A332" s="77" t="s">
        <v>155</v>
      </c>
      <c r="B332" s="251" t="s">
        <v>65</v>
      </c>
      <c r="C332" s="47" t="s">
        <v>508</v>
      </c>
      <c r="D332" s="47"/>
      <c r="E332" s="47"/>
      <c r="F332" s="256"/>
      <c r="G332" s="257"/>
      <c r="H332" s="257">
        <f t="shared" ref="H332:H335" si="54">H289*2</f>
        <v>1144.0034871794874</v>
      </c>
      <c r="I332" s="393"/>
    </row>
    <row r="333" spans="1:10" ht="15.75" x14ac:dyDescent="0.25">
      <c r="A333" s="77" t="s">
        <v>156</v>
      </c>
      <c r="B333" s="251" t="s">
        <v>66</v>
      </c>
      <c r="C333" s="47" t="s">
        <v>508</v>
      </c>
      <c r="D333" s="47"/>
      <c r="E333" s="47"/>
      <c r="F333" s="256"/>
      <c r="G333" s="257"/>
      <c r="H333" s="257">
        <f t="shared" si="54"/>
        <v>638.56758974358991</v>
      </c>
      <c r="I333" s="393"/>
    </row>
    <row r="334" spans="1:10" ht="15.75" x14ac:dyDescent="0.25">
      <c r="A334" s="77" t="s">
        <v>157</v>
      </c>
      <c r="B334" s="251" t="s">
        <v>67</v>
      </c>
      <c r="C334" s="47"/>
      <c r="D334" s="47"/>
      <c r="E334" s="47"/>
      <c r="F334" s="256"/>
      <c r="G334" s="257"/>
      <c r="H334" s="257">
        <f t="shared" si="54"/>
        <v>0</v>
      </c>
      <c r="I334" s="392" t="s">
        <v>629</v>
      </c>
      <c r="J334" s="200"/>
    </row>
    <row r="335" spans="1:10" ht="15.75" x14ac:dyDescent="0.25">
      <c r="A335" s="77" t="s">
        <v>158</v>
      </c>
      <c r="B335" s="251" t="s">
        <v>68</v>
      </c>
      <c r="C335" s="47"/>
      <c r="D335" s="47"/>
      <c r="E335" s="47"/>
      <c r="F335" s="256"/>
      <c r="G335" s="257"/>
      <c r="H335" s="257">
        <f t="shared" si="54"/>
        <v>0</v>
      </c>
      <c r="I335" s="392" t="s">
        <v>629</v>
      </c>
    </row>
    <row r="336" spans="1:10" ht="30" x14ac:dyDescent="0.25">
      <c r="A336" s="77" t="s">
        <v>159</v>
      </c>
      <c r="B336" s="251" t="s">
        <v>69</v>
      </c>
      <c r="C336" s="47"/>
      <c r="D336" s="47"/>
      <c r="E336" s="47"/>
      <c r="F336" s="256"/>
      <c r="G336" s="257"/>
      <c r="H336" s="382">
        <f>$H$205</f>
        <v>258.68297435897438</v>
      </c>
      <c r="I336" s="395" t="s">
        <v>328</v>
      </c>
    </row>
    <row r="337" spans="1:9" ht="15.75" x14ac:dyDescent="0.25">
      <c r="A337" s="232" t="s">
        <v>509</v>
      </c>
      <c r="B337" s="323" t="s">
        <v>510</v>
      </c>
      <c r="C337" s="231"/>
      <c r="D337" s="231"/>
      <c r="E337" s="231"/>
      <c r="F337" s="328"/>
      <c r="G337" s="326"/>
      <c r="H337" s="322">
        <f>SUM(H338:H343)</f>
        <v>3601.0037435897439</v>
      </c>
      <c r="I337" s="396" t="s">
        <v>522</v>
      </c>
    </row>
    <row r="338" spans="1:9" ht="47.25" x14ac:dyDescent="0.25">
      <c r="A338" s="77" t="s">
        <v>154</v>
      </c>
      <c r="B338" s="251" t="s">
        <v>64</v>
      </c>
      <c r="C338" s="47"/>
      <c r="D338" s="47"/>
      <c r="E338" s="47"/>
      <c r="F338" s="256"/>
      <c r="G338" s="257"/>
      <c r="H338" s="257">
        <f t="shared" ref="H338:H342" si="55">H295*2</f>
        <v>0</v>
      </c>
      <c r="I338" s="392" t="s">
        <v>629</v>
      </c>
    </row>
    <row r="339" spans="1:9" ht="15.75" x14ac:dyDescent="0.25">
      <c r="A339" s="77" t="s">
        <v>155</v>
      </c>
      <c r="B339" s="251" t="s">
        <v>65</v>
      </c>
      <c r="C339" s="47" t="s">
        <v>511</v>
      </c>
      <c r="D339" s="47"/>
      <c r="E339" s="47"/>
      <c r="F339" s="256"/>
      <c r="G339" s="257"/>
      <c r="H339" s="257">
        <f t="shared" si="55"/>
        <v>2145.0065384615386</v>
      </c>
      <c r="I339" s="393"/>
    </row>
    <row r="340" spans="1:9" ht="15.75" x14ac:dyDescent="0.25">
      <c r="A340" s="77" t="s">
        <v>156</v>
      </c>
      <c r="B340" s="251" t="s">
        <v>66</v>
      </c>
      <c r="C340" s="47" t="s">
        <v>511</v>
      </c>
      <c r="D340" s="47"/>
      <c r="E340" s="47"/>
      <c r="F340" s="256"/>
      <c r="G340" s="257"/>
      <c r="H340" s="257">
        <f t="shared" si="55"/>
        <v>1197.314230769231</v>
      </c>
      <c r="I340" s="393"/>
    </row>
    <row r="341" spans="1:9" ht="15.75" x14ac:dyDescent="0.25">
      <c r="A341" s="77" t="s">
        <v>157</v>
      </c>
      <c r="B341" s="251" t="s">
        <v>67</v>
      </c>
      <c r="C341" s="47"/>
      <c r="D341" s="47"/>
      <c r="E341" s="47"/>
      <c r="F341" s="256"/>
      <c r="G341" s="257"/>
      <c r="H341" s="257">
        <f t="shared" si="55"/>
        <v>0</v>
      </c>
      <c r="I341" s="392" t="s">
        <v>629</v>
      </c>
    </row>
    <row r="342" spans="1:9" ht="15.75" x14ac:dyDescent="0.25">
      <c r="A342" s="77" t="s">
        <v>158</v>
      </c>
      <c r="B342" s="251" t="s">
        <v>68</v>
      </c>
      <c r="C342" s="47"/>
      <c r="D342" s="47"/>
      <c r="E342" s="47"/>
      <c r="F342" s="256"/>
      <c r="G342" s="257"/>
      <c r="H342" s="257">
        <f t="shared" si="55"/>
        <v>0</v>
      </c>
      <c r="I342" s="392" t="s">
        <v>629</v>
      </c>
    </row>
    <row r="343" spans="1:9" ht="30" x14ac:dyDescent="0.25">
      <c r="A343" s="77" t="s">
        <v>159</v>
      </c>
      <c r="B343" s="251" t="s">
        <v>69</v>
      </c>
      <c r="C343" s="47"/>
      <c r="D343" s="47"/>
      <c r="E343" s="47"/>
      <c r="F343" s="256"/>
      <c r="G343" s="257"/>
      <c r="H343" s="382">
        <f>$H$205</f>
        <v>258.68297435897438</v>
      </c>
      <c r="I343" s="395" t="s">
        <v>328</v>
      </c>
    </row>
    <row r="344" spans="1:9" ht="15.75" x14ac:dyDescent="0.25">
      <c r="A344" s="232" t="s">
        <v>512</v>
      </c>
      <c r="B344" s="323" t="s">
        <v>513</v>
      </c>
      <c r="C344" s="231"/>
      <c r="D344" s="231"/>
      <c r="E344" s="231"/>
      <c r="F344" s="328"/>
      <c r="G344" s="326"/>
      <c r="H344" s="322">
        <f>SUM(H345:H350)</f>
        <v>5829.21758974359</v>
      </c>
      <c r="I344" s="396" t="s">
        <v>523</v>
      </c>
    </row>
    <row r="345" spans="1:9" ht="47.25" x14ac:dyDescent="0.25">
      <c r="A345" s="77" t="s">
        <v>154</v>
      </c>
      <c r="B345" s="251" t="s">
        <v>64</v>
      </c>
      <c r="C345" s="47"/>
      <c r="D345" s="47"/>
      <c r="E345" s="47"/>
      <c r="F345" s="256"/>
      <c r="G345" s="257"/>
      <c r="H345" s="257">
        <f t="shared" ref="H345:H349" si="56">H302*2</f>
        <v>0</v>
      </c>
      <c r="I345" s="392" t="s">
        <v>629</v>
      </c>
    </row>
    <row r="346" spans="1:9" ht="15.75" x14ac:dyDescent="0.25">
      <c r="A346" s="77" t="s">
        <v>155</v>
      </c>
      <c r="B346" s="251" t="s">
        <v>65</v>
      </c>
      <c r="C346" s="47" t="s">
        <v>514</v>
      </c>
      <c r="D346" s="47"/>
      <c r="E346" s="47"/>
      <c r="F346" s="256"/>
      <c r="G346" s="257"/>
      <c r="H346" s="257">
        <f t="shared" si="56"/>
        <v>3575.0108974358977</v>
      </c>
      <c r="I346" s="393"/>
    </row>
    <row r="347" spans="1:9" ht="15.75" x14ac:dyDescent="0.25">
      <c r="A347" s="77" t="s">
        <v>156</v>
      </c>
      <c r="B347" s="251" t="s">
        <v>66</v>
      </c>
      <c r="C347" s="47" t="s">
        <v>514</v>
      </c>
      <c r="D347" s="47"/>
      <c r="E347" s="47"/>
      <c r="F347" s="256"/>
      <c r="G347" s="257"/>
      <c r="H347" s="257">
        <f t="shared" si="56"/>
        <v>1995.5237179487181</v>
      </c>
      <c r="I347" s="393"/>
    </row>
    <row r="348" spans="1:9" ht="15.75" x14ac:dyDescent="0.25">
      <c r="A348" s="77" t="s">
        <v>157</v>
      </c>
      <c r="B348" s="251" t="s">
        <v>67</v>
      </c>
      <c r="C348" s="47"/>
      <c r="D348" s="47"/>
      <c r="E348" s="47"/>
      <c r="F348" s="256"/>
      <c r="G348" s="257"/>
      <c r="H348" s="257">
        <f t="shared" si="56"/>
        <v>0</v>
      </c>
      <c r="I348" s="392" t="s">
        <v>629</v>
      </c>
    </row>
    <row r="349" spans="1:9" ht="15.75" x14ac:dyDescent="0.25">
      <c r="A349" s="77" t="s">
        <v>158</v>
      </c>
      <c r="B349" s="251" t="s">
        <v>68</v>
      </c>
      <c r="C349" s="47"/>
      <c r="D349" s="47"/>
      <c r="E349" s="47"/>
      <c r="F349" s="256"/>
      <c r="G349" s="257"/>
      <c r="H349" s="257">
        <f t="shared" si="56"/>
        <v>0</v>
      </c>
      <c r="I349" s="392" t="s">
        <v>629</v>
      </c>
    </row>
    <row r="350" spans="1:9" ht="30" x14ac:dyDescent="0.25">
      <c r="A350" s="77" t="s">
        <v>159</v>
      </c>
      <c r="B350" s="251" t="s">
        <v>69</v>
      </c>
      <c r="C350" s="47"/>
      <c r="D350" s="47"/>
      <c r="E350" s="47"/>
      <c r="F350" s="256"/>
      <c r="G350" s="257"/>
      <c r="H350" s="382">
        <f>$H$205</f>
        <v>258.68297435897438</v>
      </c>
      <c r="I350" s="395" t="s">
        <v>328</v>
      </c>
    </row>
    <row r="351" spans="1:9" ht="15.75" x14ac:dyDescent="0.25">
      <c r="A351" s="232" t="s">
        <v>515</v>
      </c>
      <c r="B351" s="323" t="s">
        <v>516</v>
      </c>
      <c r="C351" s="231"/>
      <c r="D351" s="231"/>
      <c r="E351" s="231"/>
      <c r="F351" s="328"/>
      <c r="G351" s="326"/>
      <c r="H351" s="322">
        <f>SUM(H352:H357)</f>
        <v>11399.752205128207</v>
      </c>
      <c r="I351" s="396" t="s">
        <v>524</v>
      </c>
    </row>
    <row r="352" spans="1:9" ht="47.25" x14ac:dyDescent="0.25">
      <c r="A352" s="77" t="s">
        <v>154</v>
      </c>
      <c r="B352" s="251" t="s">
        <v>64</v>
      </c>
      <c r="C352" s="47"/>
      <c r="D352" s="47"/>
      <c r="E352" s="47"/>
      <c r="F352" s="256"/>
      <c r="G352" s="257"/>
      <c r="H352" s="257">
        <f t="shared" ref="H352:H356" si="57">H309*2</f>
        <v>0</v>
      </c>
      <c r="I352" s="392" t="s">
        <v>629</v>
      </c>
    </row>
    <row r="353" spans="1:9" ht="15.75" x14ac:dyDescent="0.25">
      <c r="A353" s="77" t="s">
        <v>155</v>
      </c>
      <c r="B353" s="251" t="s">
        <v>65</v>
      </c>
      <c r="C353" s="47" t="s">
        <v>517</v>
      </c>
      <c r="D353" s="47"/>
      <c r="E353" s="47"/>
      <c r="F353" s="256"/>
      <c r="G353" s="257"/>
      <c r="H353" s="257">
        <f t="shared" si="57"/>
        <v>7150.0217948717955</v>
      </c>
      <c r="I353" s="393"/>
    </row>
    <row r="354" spans="1:9" ht="15.75" x14ac:dyDescent="0.25">
      <c r="A354" s="77" t="s">
        <v>156</v>
      </c>
      <c r="B354" s="251" t="s">
        <v>66</v>
      </c>
      <c r="C354" s="47" t="s">
        <v>517</v>
      </c>
      <c r="D354" s="47"/>
      <c r="E354" s="47"/>
      <c r="F354" s="256"/>
      <c r="G354" s="257"/>
      <c r="H354" s="257">
        <f t="shared" si="57"/>
        <v>3991.0474358974361</v>
      </c>
      <c r="I354" s="393"/>
    </row>
    <row r="355" spans="1:9" ht="15.75" x14ac:dyDescent="0.25">
      <c r="A355" s="77" t="s">
        <v>157</v>
      </c>
      <c r="B355" s="251" t="s">
        <v>67</v>
      </c>
      <c r="C355" s="47"/>
      <c r="D355" s="47"/>
      <c r="E355" s="47"/>
      <c r="F355" s="256"/>
      <c r="G355" s="257"/>
      <c r="H355" s="257">
        <f t="shared" si="57"/>
        <v>0</v>
      </c>
      <c r="I355" s="392" t="s">
        <v>629</v>
      </c>
    </row>
    <row r="356" spans="1:9" ht="15.75" x14ac:dyDescent="0.25">
      <c r="A356" s="77" t="s">
        <v>158</v>
      </c>
      <c r="B356" s="251" t="s">
        <v>68</v>
      </c>
      <c r="C356" s="47"/>
      <c r="D356" s="47"/>
      <c r="E356" s="47"/>
      <c r="F356" s="256"/>
      <c r="G356" s="257"/>
      <c r="H356" s="257">
        <f t="shared" si="57"/>
        <v>0</v>
      </c>
      <c r="I356" s="392" t="s">
        <v>629</v>
      </c>
    </row>
    <row r="357" spans="1:9" ht="30" x14ac:dyDescent="0.25">
      <c r="A357" s="77" t="s">
        <v>159</v>
      </c>
      <c r="B357" s="251" t="s">
        <v>69</v>
      </c>
      <c r="C357" s="47"/>
      <c r="D357" s="47"/>
      <c r="E357" s="47"/>
      <c r="F357" s="256"/>
      <c r="G357" s="257"/>
      <c r="H357" s="382">
        <f>$H$205</f>
        <v>258.68297435897438</v>
      </c>
      <c r="I357" s="395" t="s">
        <v>328</v>
      </c>
    </row>
    <row r="358" spans="1:9" ht="15.75" x14ac:dyDescent="0.25">
      <c r="A358" s="232" t="s">
        <v>518</v>
      </c>
      <c r="B358" s="323" t="s">
        <v>519</v>
      </c>
      <c r="C358" s="231"/>
      <c r="D358" s="231"/>
      <c r="E358" s="231"/>
      <c r="F358" s="328"/>
      <c r="G358" s="326"/>
      <c r="H358" s="322">
        <f>SUM(H359:H364)</f>
        <v>22540.821435897436</v>
      </c>
      <c r="I358" s="396" t="s">
        <v>525</v>
      </c>
    </row>
    <row r="359" spans="1:9" ht="47.25" x14ac:dyDescent="0.25">
      <c r="A359" s="77" t="s">
        <v>154</v>
      </c>
      <c r="B359" s="251" t="s">
        <v>64</v>
      </c>
      <c r="C359" s="47"/>
      <c r="D359" s="47"/>
      <c r="E359" s="47"/>
      <c r="F359" s="256"/>
      <c r="G359" s="257"/>
      <c r="H359" s="257">
        <f t="shared" ref="H359:H363" si="58">H316*2</f>
        <v>0</v>
      </c>
      <c r="I359" s="392" t="s">
        <v>629</v>
      </c>
    </row>
    <row r="360" spans="1:9" ht="15.75" x14ac:dyDescent="0.25">
      <c r="A360" s="77" t="s">
        <v>155</v>
      </c>
      <c r="B360" s="251" t="s">
        <v>65</v>
      </c>
      <c r="C360" s="47" t="s">
        <v>520</v>
      </c>
      <c r="D360" s="47"/>
      <c r="E360" s="47"/>
      <c r="F360" s="256"/>
      <c r="G360" s="257"/>
      <c r="H360" s="257">
        <f t="shared" si="58"/>
        <v>14300.043589743591</v>
      </c>
      <c r="I360" s="393"/>
    </row>
    <row r="361" spans="1:9" ht="15.75" x14ac:dyDescent="0.25">
      <c r="A361" s="77" t="s">
        <v>156</v>
      </c>
      <c r="B361" s="251" t="s">
        <v>66</v>
      </c>
      <c r="C361" s="47" t="s">
        <v>520</v>
      </c>
      <c r="D361" s="47"/>
      <c r="E361" s="47"/>
      <c r="F361" s="256"/>
      <c r="G361" s="257"/>
      <c r="H361" s="257">
        <f t="shared" si="58"/>
        <v>7982.0948717948722</v>
      </c>
      <c r="I361" s="393"/>
    </row>
    <row r="362" spans="1:9" ht="15.75" x14ac:dyDescent="0.25">
      <c r="A362" s="77" t="s">
        <v>157</v>
      </c>
      <c r="B362" s="251" t="s">
        <v>67</v>
      </c>
      <c r="C362" s="47"/>
      <c r="D362" s="47"/>
      <c r="E362" s="47"/>
      <c r="F362" s="256"/>
      <c r="G362" s="257"/>
      <c r="H362" s="257">
        <f t="shared" si="58"/>
        <v>0</v>
      </c>
      <c r="I362" s="392" t="s">
        <v>629</v>
      </c>
    </row>
    <row r="363" spans="1:9" ht="15.75" x14ac:dyDescent="0.25">
      <c r="A363" s="77" t="s">
        <v>158</v>
      </c>
      <c r="B363" s="251" t="s">
        <v>68</v>
      </c>
      <c r="C363" s="47"/>
      <c r="D363" s="47"/>
      <c r="E363" s="47"/>
      <c r="F363" s="256"/>
      <c r="G363" s="257"/>
      <c r="H363" s="257">
        <f t="shared" si="58"/>
        <v>0</v>
      </c>
      <c r="I363" s="392" t="s">
        <v>629</v>
      </c>
    </row>
    <row r="364" spans="1:9" ht="30" x14ac:dyDescent="0.25">
      <c r="A364" s="77" t="s">
        <v>159</v>
      </c>
      <c r="B364" s="251" t="s">
        <v>69</v>
      </c>
      <c r="C364" s="47"/>
      <c r="D364" s="47"/>
      <c r="E364" s="47"/>
      <c r="F364" s="256"/>
      <c r="G364" s="257"/>
      <c r="H364" s="382">
        <f>$H$205</f>
        <v>258.68297435897438</v>
      </c>
      <c r="I364" s="395" t="s">
        <v>328</v>
      </c>
    </row>
    <row r="365" spans="1:9" ht="15.75" x14ac:dyDescent="0.25">
      <c r="A365" s="78" t="s">
        <v>168</v>
      </c>
      <c r="B365" s="148" t="s">
        <v>70</v>
      </c>
      <c r="C365" s="127"/>
      <c r="D365" s="127"/>
      <c r="E365" s="127"/>
      <c r="F365" s="227"/>
      <c r="G365" s="228"/>
      <c r="H365" s="271">
        <f>H366+H376+H377+H378+H381+H382</f>
        <v>4030.5317341346158</v>
      </c>
      <c r="I365" s="393"/>
    </row>
    <row r="366" spans="1:9" ht="31.5" x14ac:dyDescent="0.25">
      <c r="A366" s="77" t="s">
        <v>162</v>
      </c>
      <c r="B366" s="251" t="s">
        <v>71</v>
      </c>
      <c r="C366" s="47" t="s">
        <v>248</v>
      </c>
      <c r="D366" s="47"/>
      <c r="E366" s="47"/>
      <c r="F366" s="256"/>
      <c r="G366" s="257"/>
      <c r="H366" s="257">
        <f>SUM(H367:H375)</f>
        <v>2015.1895602564105</v>
      </c>
      <c r="I366" s="392" t="s">
        <v>319</v>
      </c>
    </row>
    <row r="367" spans="1:9" ht="15.75" x14ac:dyDescent="0.25">
      <c r="A367" s="79" t="s">
        <v>89</v>
      </c>
      <c r="B367" s="48" t="s">
        <v>239</v>
      </c>
      <c r="C367" s="127" t="s">
        <v>200</v>
      </c>
      <c r="D367" s="127">
        <v>12</v>
      </c>
      <c r="E367" s="127">
        <v>1.1100000000000001</v>
      </c>
      <c r="F367" s="227">
        <f>VLOOKUP(DUNGCU[[#This Row],[Danh mục dụng cụ]],Table1[[TÊN VẬT TƯ]:[ĐƠN GIÁ
 (Chưa VAT)]],3,0)</f>
        <v>135000</v>
      </c>
      <c r="G367" s="228">
        <f t="shared" ref="G367:G375" si="59">F367/D367/26</f>
        <v>432.69230769230768</v>
      </c>
      <c r="H367" s="228">
        <f t="shared" ref="H367:H375" si="60">G367*E367</f>
        <v>480.28846153846155</v>
      </c>
      <c r="I367" s="392"/>
    </row>
    <row r="368" spans="1:9" ht="15.75" x14ac:dyDescent="0.25">
      <c r="A368" s="79" t="s">
        <v>89</v>
      </c>
      <c r="B368" s="48" t="s">
        <v>276</v>
      </c>
      <c r="C368" s="127" t="s">
        <v>277</v>
      </c>
      <c r="D368" s="127">
        <v>3</v>
      </c>
      <c r="E368" s="127">
        <v>8.5500000000000007E-2</v>
      </c>
      <c r="F368" s="227">
        <f>VLOOKUP(DUNGCU[[#This Row],[Danh mục dụng cụ]],Table1[[TÊN VẬT TƯ]:[ĐƠN GIÁ
 (Chưa VAT)]],3,0)</f>
        <v>12000</v>
      </c>
      <c r="G368" s="228">
        <f t="shared" si="59"/>
        <v>153.84615384615384</v>
      </c>
      <c r="H368" s="228">
        <f t="shared" si="60"/>
        <v>13.153846153846155</v>
      </c>
      <c r="I368" s="392"/>
    </row>
    <row r="369" spans="1:9" ht="15.75" x14ac:dyDescent="0.25">
      <c r="A369" s="79" t="s">
        <v>89</v>
      </c>
      <c r="B369" s="48" t="s">
        <v>278</v>
      </c>
      <c r="C369" s="127" t="s">
        <v>107</v>
      </c>
      <c r="D369" s="127">
        <v>6</v>
      </c>
      <c r="E369" s="127">
        <v>8.5500000000000007E-2</v>
      </c>
      <c r="F369" s="227">
        <f>VLOOKUP(DUNGCU[[#This Row],[Danh mục dụng cụ]],Table1[[TÊN VẬT TƯ]:[ĐƠN GIÁ
 (Chưa VAT)]],3,0)</f>
        <v>40000</v>
      </c>
      <c r="G369" s="228">
        <f t="shared" si="59"/>
        <v>256.41025641025641</v>
      </c>
      <c r="H369" s="228">
        <f t="shared" si="60"/>
        <v>21.923076923076923</v>
      </c>
      <c r="I369" s="392"/>
    </row>
    <row r="370" spans="1:9" ht="15.75" x14ac:dyDescent="0.25">
      <c r="A370" s="79" t="s">
        <v>89</v>
      </c>
      <c r="B370" s="48" t="s">
        <v>198</v>
      </c>
      <c r="C370" s="127" t="s">
        <v>107</v>
      </c>
      <c r="D370" s="127">
        <v>60</v>
      </c>
      <c r="E370" s="127">
        <v>0.18559999999999999</v>
      </c>
      <c r="F370" s="227">
        <f>VLOOKUP(DUNGCU[[#This Row],[Danh mục dụng cụ]],Table1[[TÊN VẬT TƯ]:[ĐƠN GIÁ
 (Chưa VAT)]],3,0)</f>
        <v>2454545</v>
      </c>
      <c r="G370" s="228">
        <f t="shared" si="59"/>
        <v>1573.4262820512822</v>
      </c>
      <c r="H370" s="228">
        <f t="shared" si="60"/>
        <v>292.02791794871797</v>
      </c>
      <c r="I370" s="392"/>
    </row>
    <row r="371" spans="1:9" ht="15.75" x14ac:dyDescent="0.25">
      <c r="A371" s="79" t="s">
        <v>89</v>
      </c>
      <c r="B371" s="48" t="s">
        <v>263</v>
      </c>
      <c r="C371" s="127" t="s">
        <v>107</v>
      </c>
      <c r="D371" s="127">
        <v>60</v>
      </c>
      <c r="E371" s="127">
        <v>0.18559999999999999</v>
      </c>
      <c r="F371" s="227">
        <f>VLOOKUP(DUNGCU[[#This Row],[Danh mục dụng cụ]],Table1[[TÊN VẬT TƯ]:[ĐƠN GIÁ
 (Chưa VAT)]],3,0)</f>
        <v>275000</v>
      </c>
      <c r="G371" s="228">
        <f t="shared" si="59"/>
        <v>176.28205128205127</v>
      </c>
      <c r="H371" s="228">
        <f t="shared" si="60"/>
        <v>32.717948717948715</v>
      </c>
      <c r="I371" s="392"/>
    </row>
    <row r="372" spans="1:9" ht="15.75" x14ac:dyDescent="0.25">
      <c r="A372" s="79" t="s">
        <v>89</v>
      </c>
      <c r="B372" s="48" t="s">
        <v>199</v>
      </c>
      <c r="C372" s="127" t="s">
        <v>200</v>
      </c>
      <c r="D372" s="127">
        <v>36</v>
      </c>
      <c r="E372" s="127">
        <v>1.1100000000000001</v>
      </c>
      <c r="F372" s="227">
        <f>VLOOKUP(DUNGCU[[#This Row],[Danh mục dụng cụ]],Table1[[TÊN VẬT TƯ]:[ĐƠN GIÁ
 (Chưa VAT)]],3,0)</f>
        <v>105000</v>
      </c>
      <c r="G372" s="228">
        <f t="shared" si="59"/>
        <v>112.17948717948717</v>
      </c>
      <c r="H372" s="228">
        <f t="shared" si="60"/>
        <v>124.51923076923077</v>
      </c>
      <c r="I372" s="392"/>
    </row>
    <row r="373" spans="1:9" ht="15.75" x14ac:dyDescent="0.25">
      <c r="A373" s="79" t="s">
        <v>89</v>
      </c>
      <c r="B373" s="48" t="s">
        <v>201</v>
      </c>
      <c r="C373" s="127" t="s">
        <v>107</v>
      </c>
      <c r="D373" s="127">
        <v>96</v>
      </c>
      <c r="E373" s="127">
        <v>1.1100000000000001</v>
      </c>
      <c r="F373" s="227">
        <f>VLOOKUP(DUNGCU[[#This Row],[Danh mục dụng cụ]],Table1[[TÊN VẬT TƯ]:[ĐƠN GIÁ
 (Chưa VAT)]],3,0)</f>
        <v>690000</v>
      </c>
      <c r="G373" s="228">
        <f t="shared" si="59"/>
        <v>276.44230769230768</v>
      </c>
      <c r="H373" s="228">
        <f t="shared" si="60"/>
        <v>306.85096153846155</v>
      </c>
      <c r="I373" s="392"/>
    </row>
    <row r="374" spans="1:9" ht="15.75" x14ac:dyDescent="0.25">
      <c r="A374" s="79" t="s">
        <v>89</v>
      </c>
      <c r="B374" s="48" t="s">
        <v>202</v>
      </c>
      <c r="C374" s="127" t="s">
        <v>107</v>
      </c>
      <c r="D374" s="127">
        <v>96</v>
      </c>
      <c r="E374" s="127">
        <v>1.1100000000000001</v>
      </c>
      <c r="F374" s="227">
        <f>VLOOKUP(DUNGCU[[#This Row],[Danh mục dụng cụ]],Table1[[TÊN VẬT TƯ]:[ĐƠN GIÁ
 (Chưa VAT)]],3,0)</f>
        <v>1665000</v>
      </c>
      <c r="G374" s="228">
        <f t="shared" si="59"/>
        <v>667.06730769230774</v>
      </c>
      <c r="H374" s="228">
        <f t="shared" si="60"/>
        <v>740.44471153846166</v>
      </c>
      <c r="I374" s="392"/>
    </row>
    <row r="375" spans="1:9" ht="15.75" x14ac:dyDescent="0.25">
      <c r="A375" s="79" t="s">
        <v>89</v>
      </c>
      <c r="B375" s="48" t="s">
        <v>242</v>
      </c>
      <c r="C375" s="127" t="s">
        <v>107</v>
      </c>
      <c r="D375" s="127">
        <v>60</v>
      </c>
      <c r="E375" s="127">
        <v>8.0000000000000002E-3</v>
      </c>
      <c r="F375" s="227">
        <f>VLOOKUP(DUNGCU[[#This Row],[Danh mục dụng cụ]],Table1[[TÊN VẬT TƯ]:[ĐƠN GIÁ
 (Chưa VAT)]],3,0)</f>
        <v>636364</v>
      </c>
      <c r="G375" s="228">
        <f t="shared" si="59"/>
        <v>407.92564102564108</v>
      </c>
      <c r="H375" s="228">
        <f t="shared" si="60"/>
        <v>3.2634051282051288</v>
      </c>
      <c r="I375" s="392"/>
    </row>
    <row r="376" spans="1:9" ht="45" x14ac:dyDescent="0.25">
      <c r="A376" s="77" t="s">
        <v>163</v>
      </c>
      <c r="B376" s="251" t="s">
        <v>72</v>
      </c>
      <c r="C376" s="47"/>
      <c r="D376" s="47"/>
      <c r="E376" s="47"/>
      <c r="F376" s="256"/>
      <c r="G376" s="257"/>
      <c r="H376" s="257">
        <v>0</v>
      </c>
      <c r="I376" s="403" t="s">
        <v>532</v>
      </c>
    </row>
    <row r="377" spans="1:9" ht="15.75" x14ac:dyDescent="0.25">
      <c r="A377" s="77" t="s">
        <v>164</v>
      </c>
      <c r="B377" s="251" t="s">
        <v>73</v>
      </c>
      <c r="C377" s="47"/>
      <c r="D377" s="47"/>
      <c r="E377" s="47"/>
      <c r="F377" s="256"/>
      <c r="G377" s="257"/>
      <c r="H377" s="257">
        <v>0</v>
      </c>
      <c r="I377" s="392" t="s">
        <v>54</v>
      </c>
    </row>
    <row r="378" spans="1:9" ht="45" x14ac:dyDescent="0.25">
      <c r="A378" s="77" t="s">
        <v>165</v>
      </c>
      <c r="B378" s="251" t="s">
        <v>74</v>
      </c>
      <c r="C378" s="47"/>
      <c r="D378" s="47"/>
      <c r="E378" s="47"/>
      <c r="F378" s="256"/>
      <c r="G378" s="257"/>
      <c r="H378" s="257">
        <f>H379+H380</f>
        <v>0.15261362179487181</v>
      </c>
      <c r="I378" s="403" t="s">
        <v>317</v>
      </c>
    </row>
    <row r="379" spans="1:9" ht="15.75" x14ac:dyDescent="0.25">
      <c r="A379" s="77" t="s">
        <v>574</v>
      </c>
      <c r="B379" s="251" t="s">
        <v>16</v>
      </c>
      <c r="C379" s="17" t="s">
        <v>322</v>
      </c>
      <c r="D379" s="47"/>
      <c r="E379" s="47"/>
      <c r="F379" s="256"/>
      <c r="G379" s="257"/>
      <c r="H379" s="257">
        <f>H10</f>
        <v>0.15261362179487181</v>
      </c>
      <c r="I379" s="403"/>
    </row>
    <row r="380" spans="1:9" ht="60" x14ac:dyDescent="0.25">
      <c r="A380" s="77" t="s">
        <v>575</v>
      </c>
      <c r="B380" s="251" t="s">
        <v>17</v>
      </c>
      <c r="C380" s="47"/>
      <c r="D380" s="47"/>
      <c r="E380" s="47"/>
      <c r="F380" s="256"/>
      <c r="G380" s="257"/>
      <c r="H380" s="257">
        <v>0</v>
      </c>
      <c r="I380" s="394" t="s">
        <v>528</v>
      </c>
    </row>
    <row r="381" spans="1:9" ht="45" x14ac:dyDescent="0.25">
      <c r="A381" s="77" t="s">
        <v>166</v>
      </c>
      <c r="B381" s="251" t="s">
        <v>75</v>
      </c>
      <c r="C381" s="47"/>
      <c r="D381" s="47"/>
      <c r="E381" s="47"/>
      <c r="F381" s="256"/>
      <c r="G381" s="257"/>
      <c r="H381" s="257">
        <v>0</v>
      </c>
      <c r="I381" s="403" t="s">
        <v>532</v>
      </c>
    </row>
    <row r="382" spans="1:9" ht="31.5" x14ac:dyDescent="0.25">
      <c r="A382" s="77" t="s">
        <v>167</v>
      </c>
      <c r="B382" s="251" t="s">
        <v>76</v>
      </c>
      <c r="C382" s="47" t="s">
        <v>248</v>
      </c>
      <c r="D382" s="47"/>
      <c r="E382" s="47"/>
      <c r="F382" s="256"/>
      <c r="G382" s="257"/>
      <c r="H382" s="257">
        <f>SUM(H383:H391)</f>
        <v>2015.1895602564105</v>
      </c>
      <c r="I382" s="392" t="s">
        <v>319</v>
      </c>
    </row>
    <row r="383" spans="1:9" ht="15.75" x14ac:dyDescent="0.25">
      <c r="A383" s="79" t="s">
        <v>89</v>
      </c>
      <c r="B383" s="48" t="s">
        <v>239</v>
      </c>
      <c r="C383" s="127" t="s">
        <v>200</v>
      </c>
      <c r="D383" s="127">
        <v>12</v>
      </c>
      <c r="E383" s="127">
        <v>1.1100000000000001</v>
      </c>
      <c r="F383" s="227">
        <f>VLOOKUP(DUNGCU[[#This Row],[Danh mục dụng cụ]],Table1[[TÊN VẬT TƯ]:[ĐƠN GIÁ
 (Chưa VAT)]],3,0)</f>
        <v>135000</v>
      </c>
      <c r="G383" s="228">
        <f t="shared" ref="G383:G391" si="61">F383/D383/26</f>
        <v>432.69230769230768</v>
      </c>
      <c r="H383" s="228">
        <f t="shared" ref="H383:H391" si="62">G383*E383</f>
        <v>480.28846153846155</v>
      </c>
      <c r="I383" s="392"/>
    </row>
    <row r="384" spans="1:9" ht="15.75" x14ac:dyDescent="0.25">
      <c r="A384" s="79" t="s">
        <v>89</v>
      </c>
      <c r="B384" s="48" t="s">
        <v>276</v>
      </c>
      <c r="C384" s="127" t="s">
        <v>277</v>
      </c>
      <c r="D384" s="127">
        <v>3</v>
      </c>
      <c r="E384" s="127">
        <v>8.5500000000000007E-2</v>
      </c>
      <c r="F384" s="227">
        <f>VLOOKUP(DUNGCU[[#This Row],[Danh mục dụng cụ]],Table1[[TÊN VẬT TƯ]:[ĐƠN GIÁ
 (Chưa VAT)]],3,0)</f>
        <v>12000</v>
      </c>
      <c r="G384" s="228">
        <f t="shared" si="61"/>
        <v>153.84615384615384</v>
      </c>
      <c r="H384" s="228">
        <f t="shared" si="62"/>
        <v>13.153846153846155</v>
      </c>
      <c r="I384" s="392"/>
    </row>
    <row r="385" spans="1:9" ht="15.75" x14ac:dyDescent="0.25">
      <c r="A385" s="79" t="s">
        <v>89</v>
      </c>
      <c r="B385" s="48" t="s">
        <v>278</v>
      </c>
      <c r="C385" s="127" t="s">
        <v>107</v>
      </c>
      <c r="D385" s="127">
        <v>6</v>
      </c>
      <c r="E385" s="127">
        <v>8.5500000000000007E-2</v>
      </c>
      <c r="F385" s="227">
        <f>VLOOKUP(DUNGCU[[#This Row],[Danh mục dụng cụ]],Table1[[TÊN VẬT TƯ]:[ĐƠN GIÁ
 (Chưa VAT)]],3,0)</f>
        <v>40000</v>
      </c>
      <c r="G385" s="228">
        <f t="shared" si="61"/>
        <v>256.41025641025641</v>
      </c>
      <c r="H385" s="228">
        <f t="shared" si="62"/>
        <v>21.923076923076923</v>
      </c>
      <c r="I385" s="392"/>
    </row>
    <row r="386" spans="1:9" ht="15.75" x14ac:dyDescent="0.25">
      <c r="A386" s="79" t="s">
        <v>89</v>
      </c>
      <c r="B386" s="48" t="s">
        <v>198</v>
      </c>
      <c r="C386" s="127" t="s">
        <v>107</v>
      </c>
      <c r="D386" s="127">
        <v>60</v>
      </c>
      <c r="E386" s="127">
        <v>0.18559999999999999</v>
      </c>
      <c r="F386" s="227">
        <f>VLOOKUP(DUNGCU[[#This Row],[Danh mục dụng cụ]],Table1[[TÊN VẬT TƯ]:[ĐƠN GIÁ
 (Chưa VAT)]],3,0)</f>
        <v>2454545</v>
      </c>
      <c r="G386" s="228">
        <f t="shared" si="61"/>
        <v>1573.4262820512822</v>
      </c>
      <c r="H386" s="228">
        <f t="shared" si="62"/>
        <v>292.02791794871797</v>
      </c>
      <c r="I386" s="392"/>
    </row>
    <row r="387" spans="1:9" ht="15.75" x14ac:dyDescent="0.25">
      <c r="A387" s="79" t="s">
        <v>89</v>
      </c>
      <c r="B387" s="48" t="s">
        <v>263</v>
      </c>
      <c r="C387" s="127" t="s">
        <v>107</v>
      </c>
      <c r="D387" s="127">
        <v>60</v>
      </c>
      <c r="E387" s="127">
        <v>0.18559999999999999</v>
      </c>
      <c r="F387" s="227">
        <f>VLOOKUP(DUNGCU[[#This Row],[Danh mục dụng cụ]],Table1[[TÊN VẬT TƯ]:[ĐƠN GIÁ
 (Chưa VAT)]],3,0)</f>
        <v>275000</v>
      </c>
      <c r="G387" s="228">
        <f t="shared" si="61"/>
        <v>176.28205128205127</v>
      </c>
      <c r="H387" s="228">
        <f t="shared" si="62"/>
        <v>32.717948717948715</v>
      </c>
      <c r="I387" s="392"/>
    </row>
    <row r="388" spans="1:9" ht="15.75" x14ac:dyDescent="0.25">
      <c r="A388" s="79" t="s">
        <v>89</v>
      </c>
      <c r="B388" s="48" t="s">
        <v>199</v>
      </c>
      <c r="C388" s="127" t="s">
        <v>200</v>
      </c>
      <c r="D388" s="127">
        <v>36</v>
      </c>
      <c r="E388" s="127">
        <v>1.1100000000000001</v>
      </c>
      <c r="F388" s="227">
        <f>VLOOKUP(DUNGCU[[#This Row],[Danh mục dụng cụ]],Table1[[TÊN VẬT TƯ]:[ĐƠN GIÁ
 (Chưa VAT)]],3,0)</f>
        <v>105000</v>
      </c>
      <c r="G388" s="228">
        <f t="shared" si="61"/>
        <v>112.17948717948717</v>
      </c>
      <c r="H388" s="228">
        <f t="shared" si="62"/>
        <v>124.51923076923077</v>
      </c>
      <c r="I388" s="392"/>
    </row>
    <row r="389" spans="1:9" ht="15.75" x14ac:dyDescent="0.25">
      <c r="A389" s="79" t="s">
        <v>89</v>
      </c>
      <c r="B389" s="48" t="s">
        <v>201</v>
      </c>
      <c r="C389" s="127" t="s">
        <v>107</v>
      </c>
      <c r="D389" s="127">
        <v>96</v>
      </c>
      <c r="E389" s="127">
        <v>1.1100000000000001</v>
      </c>
      <c r="F389" s="227">
        <f>VLOOKUP(DUNGCU[[#This Row],[Danh mục dụng cụ]],Table1[[TÊN VẬT TƯ]:[ĐƠN GIÁ
 (Chưa VAT)]],3,0)</f>
        <v>690000</v>
      </c>
      <c r="G389" s="228">
        <f t="shared" si="61"/>
        <v>276.44230769230768</v>
      </c>
      <c r="H389" s="228">
        <f t="shared" si="62"/>
        <v>306.85096153846155</v>
      </c>
      <c r="I389" s="392"/>
    </row>
    <row r="390" spans="1:9" ht="15.75" x14ac:dyDescent="0.25">
      <c r="A390" s="79" t="s">
        <v>89</v>
      </c>
      <c r="B390" s="48" t="s">
        <v>202</v>
      </c>
      <c r="C390" s="127" t="s">
        <v>107</v>
      </c>
      <c r="D390" s="127">
        <v>96</v>
      </c>
      <c r="E390" s="127">
        <v>1.1100000000000001</v>
      </c>
      <c r="F390" s="227">
        <f>VLOOKUP(DUNGCU[[#This Row],[Danh mục dụng cụ]],Table1[[TÊN VẬT TƯ]:[ĐƠN GIÁ
 (Chưa VAT)]],3,0)</f>
        <v>1665000</v>
      </c>
      <c r="G390" s="228">
        <f t="shared" si="61"/>
        <v>667.06730769230774</v>
      </c>
      <c r="H390" s="228">
        <f t="shared" si="62"/>
        <v>740.44471153846166</v>
      </c>
      <c r="I390" s="392"/>
    </row>
    <row r="391" spans="1:9" ht="15.75" x14ac:dyDescent="0.25">
      <c r="A391" s="79" t="s">
        <v>89</v>
      </c>
      <c r="B391" s="48" t="s">
        <v>242</v>
      </c>
      <c r="C391" s="127" t="s">
        <v>107</v>
      </c>
      <c r="D391" s="127">
        <v>60</v>
      </c>
      <c r="E391" s="127">
        <v>8.0000000000000002E-3</v>
      </c>
      <c r="F391" s="227">
        <f>VLOOKUP(DUNGCU[[#This Row],[Danh mục dụng cụ]],Table1[[TÊN VẬT TƯ]:[ĐƠN GIÁ
 (Chưa VAT)]],3,0)</f>
        <v>636364</v>
      </c>
      <c r="G391" s="228">
        <f t="shared" si="61"/>
        <v>407.92564102564108</v>
      </c>
      <c r="H391" s="228">
        <f t="shared" si="62"/>
        <v>3.2634051282051288</v>
      </c>
      <c r="I391" s="392"/>
    </row>
    <row r="392" spans="1:9" ht="15.75" x14ac:dyDescent="0.25">
      <c r="A392" s="78" t="s">
        <v>173</v>
      </c>
      <c r="B392" s="148" t="s">
        <v>77</v>
      </c>
      <c r="C392" s="127"/>
      <c r="D392" s="127"/>
      <c r="E392" s="127"/>
      <c r="F392" s="227"/>
      <c r="G392" s="228"/>
      <c r="H392" s="228"/>
      <c r="I392" s="393"/>
    </row>
    <row r="393" spans="1:9" ht="15.75" x14ac:dyDescent="0.25">
      <c r="A393" s="78"/>
      <c r="B393" s="278" t="s">
        <v>500</v>
      </c>
      <c r="C393" s="127"/>
      <c r="D393" s="127"/>
      <c r="E393" s="127"/>
      <c r="F393" s="227"/>
      <c r="G393" s="228"/>
      <c r="H393" s="326">
        <f>H394+H395+H396+H404</f>
        <v>2738.3013525641027</v>
      </c>
      <c r="I393" s="404" t="s">
        <v>502</v>
      </c>
    </row>
    <row r="394" spans="1:9" ht="15.75" x14ac:dyDescent="0.25">
      <c r="A394" s="77" t="s">
        <v>169</v>
      </c>
      <c r="B394" s="251" t="s">
        <v>78</v>
      </c>
      <c r="C394" s="47"/>
      <c r="D394" s="47"/>
      <c r="E394" s="47"/>
      <c r="F394" s="256"/>
      <c r="G394" s="257"/>
      <c r="H394" s="257">
        <v>0</v>
      </c>
      <c r="I394" s="405" t="s">
        <v>629</v>
      </c>
    </row>
    <row r="395" spans="1:9" ht="31.5" x14ac:dyDescent="0.25">
      <c r="A395" s="77" t="s">
        <v>170</v>
      </c>
      <c r="B395" s="251" t="s">
        <v>79</v>
      </c>
      <c r="C395" s="47"/>
      <c r="D395" s="47"/>
      <c r="E395" s="47"/>
      <c r="F395" s="256"/>
      <c r="G395" s="257"/>
      <c r="H395" s="257">
        <v>0</v>
      </c>
      <c r="I395" s="405" t="s">
        <v>54</v>
      </c>
    </row>
    <row r="396" spans="1:9" ht="47.25" x14ac:dyDescent="0.25">
      <c r="A396" s="77" t="s">
        <v>171</v>
      </c>
      <c r="B396" s="251" t="s">
        <v>80</v>
      </c>
      <c r="C396" s="47" t="s">
        <v>248</v>
      </c>
      <c r="D396" s="47"/>
      <c r="E396" s="47"/>
      <c r="F396" s="256"/>
      <c r="G396" s="257"/>
      <c r="H396" s="257">
        <f>SUM(H397:H403)</f>
        <v>2479.6183782051285</v>
      </c>
      <c r="I396" s="392" t="s">
        <v>335</v>
      </c>
    </row>
    <row r="397" spans="1:9" ht="15.75" x14ac:dyDescent="0.25">
      <c r="A397" s="79" t="s">
        <v>89</v>
      </c>
      <c r="B397" s="48" t="s">
        <v>239</v>
      </c>
      <c r="C397" s="127" t="s">
        <v>200</v>
      </c>
      <c r="D397" s="127">
        <v>12</v>
      </c>
      <c r="E397" s="127" t="s">
        <v>330</v>
      </c>
      <c r="F397" s="227">
        <f>VLOOKUP(DUNGCU[[#This Row],[Danh mục dụng cụ]],Table1[[TÊN VẬT TƯ]:[ĐƠN GIÁ
 (Chưa VAT)]],3,0)</f>
        <v>135000</v>
      </c>
      <c r="G397" s="228">
        <f t="shared" ref="G397:G403" si="63">F397/D397/26</f>
        <v>432.69230769230768</v>
      </c>
      <c r="H397" s="228">
        <f t="shared" ref="H397:H403" si="64">G397*E397</f>
        <v>484.61538461538464</v>
      </c>
      <c r="I397" s="393"/>
    </row>
    <row r="398" spans="1:9" ht="15.75" x14ac:dyDescent="0.25">
      <c r="A398" s="79" t="s">
        <v>89</v>
      </c>
      <c r="B398" s="48" t="s">
        <v>263</v>
      </c>
      <c r="C398" s="127" t="s">
        <v>107</v>
      </c>
      <c r="D398" s="127">
        <v>60</v>
      </c>
      <c r="E398" s="127" t="s">
        <v>331</v>
      </c>
      <c r="F398" s="227">
        <f>VLOOKUP(DUNGCU[[#This Row],[Danh mục dụng cụ]],Table1[[TÊN VẬT TƯ]:[ĐƠN GIÁ
 (Chưa VAT)]],3,0)</f>
        <v>275000</v>
      </c>
      <c r="G398" s="228">
        <f t="shared" si="63"/>
        <v>176.28205128205127</v>
      </c>
      <c r="H398" s="228">
        <f t="shared" si="64"/>
        <v>33.493589743589745</v>
      </c>
      <c r="I398" s="393"/>
    </row>
    <row r="399" spans="1:9" ht="15.75" x14ac:dyDescent="0.25">
      <c r="A399" s="79" t="s">
        <v>89</v>
      </c>
      <c r="B399" s="48" t="s">
        <v>199</v>
      </c>
      <c r="C399" s="127" t="s">
        <v>200</v>
      </c>
      <c r="D399" s="127">
        <v>36</v>
      </c>
      <c r="E399" s="127" t="s">
        <v>330</v>
      </c>
      <c r="F399" s="227">
        <f>VLOOKUP(DUNGCU[[#This Row],[Danh mục dụng cụ]],Table1[[TÊN VẬT TƯ]:[ĐƠN GIÁ
 (Chưa VAT)]],3,0)</f>
        <v>105000</v>
      </c>
      <c r="G399" s="228">
        <f t="shared" si="63"/>
        <v>112.17948717948717</v>
      </c>
      <c r="H399" s="228">
        <f t="shared" si="64"/>
        <v>125.64102564102564</v>
      </c>
      <c r="I399" s="393"/>
    </row>
    <row r="400" spans="1:9" ht="15.75" x14ac:dyDescent="0.25">
      <c r="A400" s="79" t="s">
        <v>89</v>
      </c>
      <c r="B400" s="48" t="s">
        <v>332</v>
      </c>
      <c r="C400" s="127" t="s">
        <v>107</v>
      </c>
      <c r="D400" s="127">
        <v>60</v>
      </c>
      <c r="E400" s="127" t="s">
        <v>333</v>
      </c>
      <c r="F400" s="227">
        <f>VLOOKUP(DUNGCU[[#This Row],[Danh mục dụng cụ]],Table1[[TÊN VẬT TƯ]:[ĐƠN GIÁ
 (Chưa VAT)]],3,0)</f>
        <v>5545455</v>
      </c>
      <c r="G400" s="228">
        <f t="shared" si="63"/>
        <v>3554.7788461538462</v>
      </c>
      <c r="H400" s="228">
        <f t="shared" si="64"/>
        <v>746.50355769230771</v>
      </c>
      <c r="I400" s="393"/>
    </row>
    <row r="401" spans="1:9" ht="15.75" x14ac:dyDescent="0.25">
      <c r="A401" s="79" t="s">
        <v>89</v>
      </c>
      <c r="B401" s="48" t="s">
        <v>201</v>
      </c>
      <c r="C401" s="127" t="s">
        <v>107</v>
      </c>
      <c r="D401" s="127">
        <v>96</v>
      </c>
      <c r="E401" s="127" t="s">
        <v>330</v>
      </c>
      <c r="F401" s="227">
        <f>VLOOKUP(DUNGCU[[#This Row],[Danh mục dụng cụ]],Table1[[TÊN VẬT TƯ]:[ĐƠN GIÁ
 (Chưa VAT)]],3,0)</f>
        <v>690000</v>
      </c>
      <c r="G401" s="228">
        <f t="shared" si="63"/>
        <v>276.44230769230768</v>
      </c>
      <c r="H401" s="228">
        <f t="shared" si="64"/>
        <v>309.61538461538464</v>
      </c>
      <c r="I401" s="393"/>
    </row>
    <row r="402" spans="1:9" ht="15.75" x14ac:dyDescent="0.25">
      <c r="A402" s="79" t="s">
        <v>89</v>
      </c>
      <c r="B402" s="48" t="s">
        <v>202</v>
      </c>
      <c r="C402" s="127" t="s">
        <v>107</v>
      </c>
      <c r="D402" s="127">
        <v>96</v>
      </c>
      <c r="E402" s="127" t="s">
        <v>330</v>
      </c>
      <c r="F402" s="227">
        <f>VLOOKUP(DUNGCU[[#This Row],[Danh mục dụng cụ]],Table1[[TÊN VẬT TƯ]:[ĐƠN GIÁ
 (Chưa VAT)]],3,0)</f>
        <v>1665000</v>
      </c>
      <c r="G402" s="228">
        <f t="shared" si="63"/>
        <v>667.06730769230774</v>
      </c>
      <c r="H402" s="228">
        <f t="shared" si="64"/>
        <v>747.11538461538476</v>
      </c>
      <c r="I402" s="393"/>
    </row>
    <row r="403" spans="1:9" ht="15.75" x14ac:dyDescent="0.25">
      <c r="A403" s="79" t="s">
        <v>89</v>
      </c>
      <c r="B403" s="48" t="s">
        <v>242</v>
      </c>
      <c r="C403" s="127" t="s">
        <v>107</v>
      </c>
      <c r="D403" s="127">
        <v>60</v>
      </c>
      <c r="E403" s="127" t="s">
        <v>334</v>
      </c>
      <c r="F403" s="227">
        <f>VLOOKUP(DUNGCU[[#This Row],[Danh mục dụng cụ]],Table1[[TÊN VẬT TƯ]:[ĐƠN GIÁ
 (Chưa VAT)]],3,0)</f>
        <v>636364</v>
      </c>
      <c r="G403" s="228">
        <f t="shared" si="63"/>
        <v>407.92564102564108</v>
      </c>
      <c r="H403" s="228">
        <f t="shared" si="64"/>
        <v>32.634051282051288</v>
      </c>
      <c r="I403" s="393"/>
    </row>
    <row r="404" spans="1:9" ht="31.5" x14ac:dyDescent="0.25">
      <c r="A404" s="77" t="s">
        <v>172</v>
      </c>
      <c r="B404" s="251" t="s">
        <v>81</v>
      </c>
      <c r="C404" s="47" t="s">
        <v>283</v>
      </c>
      <c r="D404" s="47"/>
      <c r="E404" s="47"/>
      <c r="F404" s="256"/>
      <c r="G404" s="257"/>
      <c r="H404" s="257">
        <f>$H$205</f>
        <v>258.68297435897438</v>
      </c>
      <c r="I404" s="395" t="s">
        <v>328</v>
      </c>
    </row>
    <row r="405" spans="1:9" ht="15.75" x14ac:dyDescent="0.25">
      <c r="A405" s="78"/>
      <c r="B405" s="278" t="s">
        <v>501</v>
      </c>
      <c r="C405" s="127"/>
      <c r="D405" s="127"/>
      <c r="E405" s="127"/>
      <c r="F405" s="227"/>
      <c r="G405" s="228"/>
      <c r="H405" s="326">
        <f>SUM(H406:H409)</f>
        <v>2391.1547796153845</v>
      </c>
      <c r="I405" s="404">
        <v>0.86</v>
      </c>
    </row>
    <row r="406" spans="1:9" ht="15.75" x14ac:dyDescent="0.25">
      <c r="A406" s="77" t="s">
        <v>169</v>
      </c>
      <c r="B406" s="251" t="s">
        <v>78</v>
      </c>
      <c r="C406" s="47"/>
      <c r="D406" s="47"/>
      <c r="E406" s="47"/>
      <c r="F406" s="256"/>
      <c r="G406" s="257"/>
      <c r="H406" s="257">
        <f>H394*0.86</f>
        <v>0</v>
      </c>
      <c r="I406" s="405" t="s">
        <v>629</v>
      </c>
    </row>
    <row r="407" spans="1:9" ht="31.5" x14ac:dyDescent="0.25">
      <c r="A407" s="77" t="s">
        <v>170</v>
      </c>
      <c r="B407" s="251" t="s">
        <v>79</v>
      </c>
      <c r="C407" s="47"/>
      <c r="D407" s="47"/>
      <c r="E407" s="47"/>
      <c r="F407" s="256"/>
      <c r="G407" s="257"/>
      <c r="H407" s="257">
        <f t="shared" ref="H407:H408" si="65">H395*0.86</f>
        <v>0</v>
      </c>
      <c r="I407" s="405" t="s">
        <v>54</v>
      </c>
    </row>
    <row r="408" spans="1:9" ht="47.25" x14ac:dyDescent="0.25">
      <c r="A408" s="77" t="s">
        <v>171</v>
      </c>
      <c r="B408" s="251" t="s">
        <v>80</v>
      </c>
      <c r="C408" s="47" t="s">
        <v>248</v>
      </c>
      <c r="D408" s="47"/>
      <c r="E408" s="47"/>
      <c r="F408" s="256"/>
      <c r="G408" s="257"/>
      <c r="H408" s="257">
        <f t="shared" si="65"/>
        <v>2132.4718052564103</v>
      </c>
      <c r="I408" s="392" t="s">
        <v>335</v>
      </c>
    </row>
    <row r="409" spans="1:9" ht="31.5" x14ac:dyDescent="0.25">
      <c r="A409" s="77" t="s">
        <v>172</v>
      </c>
      <c r="B409" s="251" t="s">
        <v>81</v>
      </c>
      <c r="C409" s="47" t="s">
        <v>283</v>
      </c>
      <c r="D409" s="47"/>
      <c r="E409" s="47"/>
      <c r="F409" s="256"/>
      <c r="G409" s="257"/>
      <c r="H409" s="382">
        <f>$H$205</f>
        <v>258.68297435897438</v>
      </c>
      <c r="I409" s="395" t="s">
        <v>328</v>
      </c>
    </row>
    <row r="410" spans="1:9" ht="60" x14ac:dyDescent="0.25">
      <c r="A410" s="78" t="s">
        <v>82</v>
      </c>
      <c r="B410" s="148" t="s">
        <v>84</v>
      </c>
      <c r="C410" s="127"/>
      <c r="D410" s="127"/>
      <c r="E410" s="127"/>
      <c r="F410" s="227"/>
      <c r="G410" s="228"/>
      <c r="H410" s="228"/>
      <c r="I410" s="406" t="s">
        <v>527</v>
      </c>
    </row>
    <row r="411" spans="1:9" ht="15.75" x14ac:dyDescent="0.25">
      <c r="A411" s="78" t="s">
        <v>174</v>
      </c>
      <c r="B411" s="148" t="s">
        <v>93</v>
      </c>
      <c r="C411" s="127"/>
      <c r="D411" s="127"/>
      <c r="E411" s="127"/>
      <c r="F411" s="227"/>
      <c r="G411" s="228"/>
      <c r="H411" s="228"/>
      <c r="I411" s="392" t="s">
        <v>354</v>
      </c>
    </row>
    <row r="412" spans="1:9" ht="31.5" x14ac:dyDescent="0.25">
      <c r="A412" s="77" t="s">
        <v>175</v>
      </c>
      <c r="B412" s="251" t="s">
        <v>85</v>
      </c>
      <c r="C412" s="47"/>
      <c r="D412" s="47"/>
      <c r="E412" s="47"/>
      <c r="F412" s="256"/>
      <c r="G412" s="257"/>
      <c r="H412" s="257">
        <v>0</v>
      </c>
      <c r="I412" s="392" t="s">
        <v>629</v>
      </c>
    </row>
    <row r="413" spans="1:9" ht="15.75" x14ac:dyDescent="0.25">
      <c r="A413" s="77" t="s">
        <v>176</v>
      </c>
      <c r="B413" s="251" t="s">
        <v>86</v>
      </c>
      <c r="C413" s="47"/>
      <c r="D413" s="47"/>
      <c r="E413" s="47"/>
      <c r="F413" s="256"/>
      <c r="G413" s="257"/>
      <c r="H413" s="257"/>
      <c r="I413" s="393"/>
    </row>
    <row r="414" spans="1:9" ht="15.75" x14ac:dyDescent="0.25">
      <c r="A414" s="77" t="s">
        <v>558</v>
      </c>
      <c r="B414" s="252" t="s">
        <v>90</v>
      </c>
      <c r="C414" s="47" t="s">
        <v>355</v>
      </c>
      <c r="D414" s="47"/>
      <c r="E414" s="47"/>
      <c r="F414" s="256"/>
      <c r="G414" s="257"/>
      <c r="H414" s="257">
        <f>SUM(H415:H420)</f>
        <v>114.50320192307693</v>
      </c>
      <c r="I414" s="393"/>
    </row>
    <row r="415" spans="1:9" ht="15.75" x14ac:dyDescent="0.25">
      <c r="A415" s="80" t="s">
        <v>89</v>
      </c>
      <c r="B415" s="225" t="s">
        <v>239</v>
      </c>
      <c r="C415" s="127" t="s">
        <v>200</v>
      </c>
      <c r="D415" s="127">
        <v>12</v>
      </c>
      <c r="E415" s="127" t="s">
        <v>349</v>
      </c>
      <c r="F415" s="227">
        <f>VLOOKUP(DUNGCU[[#This Row],[Danh mục dụng cụ]],Table1[[TÊN VẬT TƯ]:[ĐƠN GIÁ
 (Chưa VAT)]],3,0)</f>
        <v>135000</v>
      </c>
      <c r="G415" s="228">
        <f t="shared" ref="G415:G420" si="66">F415/D415/26</f>
        <v>432.69230769230768</v>
      </c>
      <c r="H415" s="228">
        <f t="shared" ref="H415:H420" si="67">G415*E415</f>
        <v>27.692307692307693</v>
      </c>
      <c r="I415" s="393"/>
    </row>
    <row r="416" spans="1:9" ht="15.75" x14ac:dyDescent="0.25">
      <c r="A416" s="80" t="s">
        <v>89</v>
      </c>
      <c r="B416" s="225" t="s">
        <v>198</v>
      </c>
      <c r="C416" s="127" t="s">
        <v>107</v>
      </c>
      <c r="D416" s="127">
        <v>60</v>
      </c>
      <c r="E416" s="127" t="s">
        <v>341</v>
      </c>
      <c r="F416" s="227">
        <f>VLOOKUP(DUNGCU[[#This Row],[Danh mục dụng cụ]],Table1[[TÊN VẬT TƯ]:[ĐƠN GIÁ
 (Chưa VAT)]],3,0)</f>
        <v>2454545</v>
      </c>
      <c r="G416" s="228">
        <f t="shared" si="66"/>
        <v>1573.4262820512822</v>
      </c>
      <c r="H416" s="228">
        <f t="shared" si="67"/>
        <v>17.307689102564105</v>
      </c>
      <c r="I416" s="393"/>
    </row>
    <row r="417" spans="1:9" ht="15.75" x14ac:dyDescent="0.25">
      <c r="A417" s="80" t="s">
        <v>89</v>
      </c>
      <c r="B417" s="225" t="s">
        <v>263</v>
      </c>
      <c r="C417" s="127" t="s">
        <v>107</v>
      </c>
      <c r="D417" s="127">
        <v>60</v>
      </c>
      <c r="E417" s="127" t="s">
        <v>341</v>
      </c>
      <c r="F417" s="227">
        <f>VLOOKUP(DUNGCU[[#This Row],[Danh mục dụng cụ]],Table1[[TÊN VẬT TƯ]:[ĐƠN GIÁ
 (Chưa VAT)]],3,0)</f>
        <v>275000</v>
      </c>
      <c r="G417" s="228">
        <f t="shared" si="66"/>
        <v>176.28205128205127</v>
      </c>
      <c r="H417" s="228">
        <f t="shared" si="67"/>
        <v>1.9391025641025639</v>
      </c>
      <c r="I417" s="393"/>
    </row>
    <row r="418" spans="1:9" ht="15.75" x14ac:dyDescent="0.25">
      <c r="A418" s="80" t="s">
        <v>89</v>
      </c>
      <c r="B418" s="225" t="s">
        <v>199</v>
      </c>
      <c r="C418" s="127" t="s">
        <v>200</v>
      </c>
      <c r="D418" s="127">
        <v>36</v>
      </c>
      <c r="E418" s="127" t="s">
        <v>349</v>
      </c>
      <c r="F418" s="227">
        <f>VLOOKUP(DUNGCU[[#This Row],[Danh mục dụng cụ]],Table1[[TÊN VẬT TƯ]:[ĐƠN GIÁ
 (Chưa VAT)]],3,0)</f>
        <v>105000</v>
      </c>
      <c r="G418" s="228">
        <f t="shared" si="66"/>
        <v>112.17948717948717</v>
      </c>
      <c r="H418" s="228">
        <f t="shared" si="67"/>
        <v>7.1794871794871788</v>
      </c>
      <c r="I418" s="393"/>
    </row>
    <row r="419" spans="1:9" ht="15.75" x14ac:dyDescent="0.25">
      <c r="A419" s="80" t="s">
        <v>89</v>
      </c>
      <c r="B419" s="225" t="s">
        <v>201</v>
      </c>
      <c r="C419" s="127" t="s">
        <v>107</v>
      </c>
      <c r="D419" s="127">
        <v>96</v>
      </c>
      <c r="E419" s="127" t="s">
        <v>349</v>
      </c>
      <c r="F419" s="227">
        <f>VLOOKUP(DUNGCU[[#This Row],[Danh mục dụng cụ]],Table1[[TÊN VẬT TƯ]:[ĐƠN GIÁ
 (Chưa VAT)]],3,0)</f>
        <v>690000</v>
      </c>
      <c r="G419" s="228">
        <f t="shared" si="66"/>
        <v>276.44230769230768</v>
      </c>
      <c r="H419" s="228">
        <f t="shared" si="67"/>
        <v>17.692307692307693</v>
      </c>
      <c r="I419" s="393"/>
    </row>
    <row r="420" spans="1:9" ht="15.75" x14ac:dyDescent="0.25">
      <c r="A420" s="80" t="s">
        <v>89</v>
      </c>
      <c r="B420" s="225" t="s">
        <v>202</v>
      </c>
      <c r="C420" s="127" t="s">
        <v>107</v>
      </c>
      <c r="D420" s="127">
        <v>96</v>
      </c>
      <c r="E420" s="127" t="s">
        <v>349</v>
      </c>
      <c r="F420" s="227">
        <f>VLOOKUP(DUNGCU[[#This Row],[Danh mục dụng cụ]],Table1[[TÊN VẬT TƯ]:[ĐƠN GIÁ
 (Chưa VAT)]],3,0)</f>
        <v>1665000</v>
      </c>
      <c r="G420" s="228">
        <f t="shared" si="66"/>
        <v>667.06730769230774</v>
      </c>
      <c r="H420" s="228">
        <f t="shared" si="67"/>
        <v>42.692307692307693</v>
      </c>
      <c r="I420" s="393"/>
    </row>
    <row r="421" spans="1:9" ht="15.75" x14ac:dyDescent="0.25">
      <c r="A421" s="77" t="s">
        <v>559</v>
      </c>
      <c r="B421" s="252" t="s">
        <v>91</v>
      </c>
      <c r="C421" s="47" t="s">
        <v>323</v>
      </c>
      <c r="D421" s="47"/>
      <c r="E421" s="47"/>
      <c r="F421" s="256"/>
      <c r="G421" s="257"/>
      <c r="H421" s="257">
        <f>SUM(H422:H427)</f>
        <v>103.82320512820515</v>
      </c>
      <c r="I421" s="393"/>
    </row>
    <row r="422" spans="1:9" ht="15.75" x14ac:dyDescent="0.25">
      <c r="A422" s="80" t="s">
        <v>89</v>
      </c>
      <c r="B422" s="225" t="s">
        <v>239</v>
      </c>
      <c r="C422" s="127" t="s">
        <v>200</v>
      </c>
      <c r="D422" s="127">
        <v>12</v>
      </c>
      <c r="E422" s="127" t="s">
        <v>350</v>
      </c>
      <c r="F422" s="227">
        <f>VLOOKUP(DUNGCU[[#This Row],[Danh mục dụng cụ]],Table1[[TÊN VẬT TƯ]:[ĐƠN GIÁ
 (Chưa VAT)]],3,0)</f>
        <v>135000</v>
      </c>
      <c r="G422" s="228">
        <f t="shared" ref="G422:G427" si="68">F422/D422/26</f>
        <v>432.69230769230768</v>
      </c>
      <c r="H422" s="228">
        <f t="shared" ref="H422:H427" si="69">G422*E422</f>
        <v>25.096153846153847</v>
      </c>
      <c r="I422" s="393"/>
    </row>
    <row r="423" spans="1:9" ht="15.75" x14ac:dyDescent="0.25">
      <c r="A423" s="80" t="s">
        <v>89</v>
      </c>
      <c r="B423" s="225" t="s">
        <v>198</v>
      </c>
      <c r="C423" s="127" t="s">
        <v>107</v>
      </c>
      <c r="D423" s="127">
        <v>60</v>
      </c>
      <c r="E423" s="127" t="s">
        <v>351</v>
      </c>
      <c r="F423" s="227">
        <f>VLOOKUP(DUNGCU[[#This Row],[Danh mục dụng cụ]],Table1[[TÊN VẬT TƯ]:[ĐƠN GIÁ
 (Chưa VAT)]],3,0)</f>
        <v>2454545</v>
      </c>
      <c r="G423" s="228">
        <f t="shared" si="68"/>
        <v>1573.4262820512822</v>
      </c>
      <c r="H423" s="228">
        <f t="shared" si="69"/>
        <v>15.734262820512823</v>
      </c>
      <c r="I423" s="393"/>
    </row>
    <row r="424" spans="1:9" ht="15.75" x14ac:dyDescent="0.25">
      <c r="A424" s="80" t="s">
        <v>89</v>
      </c>
      <c r="B424" s="225" t="s">
        <v>263</v>
      </c>
      <c r="C424" s="127" t="s">
        <v>107</v>
      </c>
      <c r="D424" s="127">
        <v>60</v>
      </c>
      <c r="E424" s="127" t="s">
        <v>351</v>
      </c>
      <c r="F424" s="227">
        <f>VLOOKUP(DUNGCU[[#This Row],[Danh mục dụng cụ]],Table1[[TÊN VẬT TƯ]:[ĐƠN GIÁ
 (Chưa VAT)]],3,0)</f>
        <v>275000</v>
      </c>
      <c r="G424" s="228">
        <f t="shared" si="68"/>
        <v>176.28205128205127</v>
      </c>
      <c r="H424" s="228">
        <f t="shared" si="69"/>
        <v>1.7628205128205128</v>
      </c>
      <c r="I424" s="393"/>
    </row>
    <row r="425" spans="1:9" ht="15.75" x14ac:dyDescent="0.25">
      <c r="A425" s="80" t="s">
        <v>89</v>
      </c>
      <c r="B425" s="225" t="s">
        <v>199</v>
      </c>
      <c r="C425" s="127" t="s">
        <v>200</v>
      </c>
      <c r="D425" s="127">
        <v>36</v>
      </c>
      <c r="E425" s="127" t="s">
        <v>350</v>
      </c>
      <c r="F425" s="227">
        <f>VLOOKUP(DUNGCU[[#This Row],[Danh mục dụng cụ]],Table1[[TÊN VẬT TƯ]:[ĐƠN GIÁ
 (Chưa VAT)]],3,0)</f>
        <v>105000</v>
      </c>
      <c r="G425" s="228">
        <f t="shared" si="68"/>
        <v>112.17948717948717</v>
      </c>
      <c r="H425" s="228">
        <f t="shared" si="69"/>
        <v>6.5064102564102564</v>
      </c>
      <c r="I425" s="393"/>
    </row>
    <row r="426" spans="1:9" ht="15.75" x14ac:dyDescent="0.25">
      <c r="A426" s="80" t="s">
        <v>89</v>
      </c>
      <c r="B426" s="225" t="s">
        <v>201</v>
      </c>
      <c r="C426" s="127" t="s">
        <v>107</v>
      </c>
      <c r="D426" s="127">
        <v>96</v>
      </c>
      <c r="E426" s="127" t="s">
        <v>350</v>
      </c>
      <c r="F426" s="227">
        <f>VLOOKUP(DUNGCU[[#This Row],[Danh mục dụng cụ]],Table1[[TÊN VẬT TƯ]:[ĐƠN GIÁ
 (Chưa VAT)]],3,0)</f>
        <v>690000</v>
      </c>
      <c r="G426" s="228">
        <f t="shared" si="68"/>
        <v>276.44230769230768</v>
      </c>
      <c r="H426" s="228">
        <f t="shared" si="69"/>
        <v>16.033653846153847</v>
      </c>
      <c r="I426" s="393"/>
    </row>
    <row r="427" spans="1:9" ht="15.75" x14ac:dyDescent="0.25">
      <c r="A427" s="80" t="s">
        <v>89</v>
      </c>
      <c r="B427" s="225" t="s">
        <v>202</v>
      </c>
      <c r="C427" s="127" t="s">
        <v>107</v>
      </c>
      <c r="D427" s="127">
        <v>96</v>
      </c>
      <c r="E427" s="127" t="s">
        <v>350</v>
      </c>
      <c r="F427" s="227">
        <f>VLOOKUP(DUNGCU[[#This Row],[Danh mục dụng cụ]],Table1[[TÊN VẬT TƯ]:[ĐƠN GIÁ
 (Chưa VAT)]],3,0)</f>
        <v>1665000</v>
      </c>
      <c r="G427" s="228">
        <f t="shared" si="68"/>
        <v>667.06730769230774</v>
      </c>
      <c r="H427" s="228">
        <f t="shared" si="69"/>
        <v>38.689903846153854</v>
      </c>
      <c r="I427" s="393"/>
    </row>
    <row r="428" spans="1:9" ht="15.75" x14ac:dyDescent="0.25">
      <c r="A428" s="77" t="s">
        <v>560</v>
      </c>
      <c r="B428" s="252" t="s">
        <v>92</v>
      </c>
      <c r="C428" s="47" t="s">
        <v>322</v>
      </c>
      <c r="D428" s="47"/>
      <c r="E428" s="47"/>
      <c r="F428" s="256"/>
      <c r="G428" s="257"/>
      <c r="H428" s="257">
        <f>SUM(H429:H433)</f>
        <v>0.27403407692307696</v>
      </c>
      <c r="I428" s="393"/>
    </row>
    <row r="429" spans="1:9" ht="15.75" x14ac:dyDescent="0.25">
      <c r="A429" s="80" t="s">
        <v>89</v>
      </c>
      <c r="B429" s="225" t="s">
        <v>198</v>
      </c>
      <c r="C429" s="127" t="s">
        <v>107</v>
      </c>
      <c r="D429" s="127">
        <v>60</v>
      </c>
      <c r="E429" s="127" t="s">
        <v>352</v>
      </c>
      <c r="F429" s="227">
        <f>VLOOKUP(DUNGCU[[#This Row],[Danh mục dụng cụ]],Table1[[TÊN VẬT TƯ]:[ĐƠN GIÁ
 (Chưa VAT)]],3,0)</f>
        <v>2454545</v>
      </c>
      <c r="G429" s="228">
        <f t="shared" ref="G429:G433" si="70">F429/D429/26</f>
        <v>1573.4262820512822</v>
      </c>
      <c r="H429" s="228">
        <f t="shared" ref="H429:H433" si="71">G429*E429</f>
        <v>7.5524461538461554E-2</v>
      </c>
      <c r="I429" s="393"/>
    </row>
    <row r="430" spans="1:9" ht="15.75" x14ac:dyDescent="0.25">
      <c r="A430" s="80" t="s">
        <v>89</v>
      </c>
      <c r="B430" s="225" t="s">
        <v>263</v>
      </c>
      <c r="C430" s="127" t="s">
        <v>107</v>
      </c>
      <c r="D430" s="127">
        <v>60</v>
      </c>
      <c r="E430" s="127" t="s">
        <v>344</v>
      </c>
      <c r="F430" s="227">
        <f>VLOOKUP(DUNGCU[[#This Row],[Danh mục dụng cụ]],Table1[[TÊN VẬT TƯ]:[ĐƠN GIÁ
 (Chưa VAT)]],3,0)</f>
        <v>275000</v>
      </c>
      <c r="G430" s="228">
        <f t="shared" si="70"/>
        <v>176.28205128205127</v>
      </c>
      <c r="H430" s="228">
        <f t="shared" si="71"/>
        <v>5.9935897435897433E-3</v>
      </c>
      <c r="I430" s="393"/>
    </row>
    <row r="431" spans="1:9" ht="15.75" x14ac:dyDescent="0.25">
      <c r="A431" s="80" t="s">
        <v>89</v>
      </c>
      <c r="B431" s="225" t="s">
        <v>199</v>
      </c>
      <c r="C431" s="127" t="s">
        <v>200</v>
      </c>
      <c r="D431" s="127">
        <v>36</v>
      </c>
      <c r="E431" s="127" t="s">
        <v>344</v>
      </c>
      <c r="F431" s="227">
        <f>VLOOKUP(DUNGCU[[#This Row],[Danh mục dụng cụ]],Table1[[TÊN VẬT TƯ]:[ĐƠN GIÁ
 (Chưa VAT)]],3,0)</f>
        <v>105000</v>
      </c>
      <c r="G431" s="228">
        <f t="shared" si="70"/>
        <v>112.17948717948717</v>
      </c>
      <c r="H431" s="228">
        <f t="shared" si="71"/>
        <v>3.8141025641025635E-3</v>
      </c>
      <c r="I431" s="393"/>
    </row>
    <row r="432" spans="1:9" ht="15.75" x14ac:dyDescent="0.25">
      <c r="A432" s="80" t="s">
        <v>89</v>
      </c>
      <c r="B432" s="225" t="s">
        <v>201</v>
      </c>
      <c r="C432" s="127" t="s">
        <v>107</v>
      </c>
      <c r="D432" s="127">
        <v>96</v>
      </c>
      <c r="E432" s="127" t="s">
        <v>353</v>
      </c>
      <c r="F432" s="227">
        <f>VLOOKUP(DUNGCU[[#This Row],[Danh mục dụng cụ]],Table1[[TÊN VẬT TƯ]:[ĐƠN GIÁ
 (Chưa VAT)]],3,0)</f>
        <v>690000</v>
      </c>
      <c r="G432" s="228">
        <f t="shared" si="70"/>
        <v>276.44230769230768</v>
      </c>
      <c r="H432" s="228">
        <f t="shared" si="71"/>
        <v>5.5288461538461536E-2</v>
      </c>
      <c r="I432" s="393"/>
    </row>
    <row r="433" spans="1:9" ht="15.75" x14ac:dyDescent="0.25">
      <c r="A433" s="80" t="s">
        <v>89</v>
      </c>
      <c r="B433" s="225" t="s">
        <v>202</v>
      </c>
      <c r="C433" s="127" t="s">
        <v>107</v>
      </c>
      <c r="D433" s="127">
        <v>96</v>
      </c>
      <c r="E433" s="127" t="s">
        <v>353</v>
      </c>
      <c r="F433" s="227">
        <f>VLOOKUP(DUNGCU[[#This Row],[Danh mục dụng cụ]],Table1[[TÊN VẬT TƯ]:[ĐƠN GIÁ
 (Chưa VAT)]],3,0)</f>
        <v>1665000</v>
      </c>
      <c r="G433" s="228">
        <f t="shared" si="70"/>
        <v>667.06730769230774</v>
      </c>
      <c r="H433" s="228">
        <f t="shared" si="71"/>
        <v>0.13341346153846156</v>
      </c>
      <c r="I433" s="393"/>
    </row>
    <row r="434" spans="1:9" ht="15.75" x14ac:dyDescent="0.25">
      <c r="A434" s="77" t="s">
        <v>180</v>
      </c>
      <c r="B434" s="251" t="s">
        <v>87</v>
      </c>
      <c r="C434" s="47"/>
      <c r="D434" s="47"/>
      <c r="E434" s="47"/>
      <c r="F434" s="256"/>
      <c r="G434" s="257"/>
      <c r="H434" s="257">
        <v>0</v>
      </c>
      <c r="I434" s="392" t="s">
        <v>629</v>
      </c>
    </row>
    <row r="435" spans="1:9" ht="15.75" x14ac:dyDescent="0.25">
      <c r="A435" s="77" t="s">
        <v>181</v>
      </c>
      <c r="B435" s="251" t="s">
        <v>88</v>
      </c>
      <c r="C435" s="47"/>
      <c r="D435" s="47"/>
      <c r="E435" s="47"/>
      <c r="F435" s="256"/>
      <c r="G435" s="257"/>
      <c r="H435" s="257">
        <v>0</v>
      </c>
      <c r="I435" s="392" t="s">
        <v>54</v>
      </c>
    </row>
    <row r="436" spans="1:9" ht="15.75" x14ac:dyDescent="0.25">
      <c r="A436" s="78" t="s">
        <v>177</v>
      </c>
      <c r="B436" s="148" t="s">
        <v>94</v>
      </c>
      <c r="C436" s="127"/>
      <c r="D436" s="127"/>
      <c r="E436" s="127"/>
      <c r="F436" s="227"/>
      <c r="G436" s="228"/>
      <c r="H436" s="228"/>
      <c r="I436" s="407">
        <v>0.82</v>
      </c>
    </row>
    <row r="437" spans="1:9" ht="31.5" x14ac:dyDescent="0.25">
      <c r="A437" s="77" t="s">
        <v>178</v>
      </c>
      <c r="B437" s="251" t="s">
        <v>85</v>
      </c>
      <c r="C437" s="47"/>
      <c r="D437" s="47"/>
      <c r="E437" s="47"/>
      <c r="F437" s="256"/>
      <c r="G437" s="257"/>
      <c r="H437" s="257">
        <v>0</v>
      </c>
      <c r="I437" s="392" t="s">
        <v>629</v>
      </c>
    </row>
    <row r="438" spans="1:9" ht="15.75" x14ac:dyDescent="0.25">
      <c r="A438" s="77" t="s">
        <v>179</v>
      </c>
      <c r="B438" s="251" t="s">
        <v>86</v>
      </c>
      <c r="C438" s="47"/>
      <c r="D438" s="47"/>
      <c r="E438" s="47"/>
      <c r="F438" s="256"/>
      <c r="G438" s="257"/>
      <c r="H438" s="257"/>
      <c r="I438" s="393"/>
    </row>
    <row r="439" spans="1:9" ht="15.75" x14ac:dyDescent="0.25">
      <c r="A439" s="77" t="s">
        <v>552</v>
      </c>
      <c r="B439" s="252" t="s">
        <v>90</v>
      </c>
      <c r="C439" s="47" t="s">
        <v>355</v>
      </c>
      <c r="D439" s="242"/>
      <c r="E439" s="242"/>
      <c r="F439" s="267"/>
      <c r="G439" s="268"/>
      <c r="H439" s="272">
        <f>$H$414*0.82</f>
        <v>93.892625576923081</v>
      </c>
      <c r="I439" s="408"/>
    </row>
    <row r="440" spans="1:9" ht="15.75" x14ac:dyDescent="0.25">
      <c r="A440" s="77" t="s">
        <v>553</v>
      </c>
      <c r="B440" s="252" t="s">
        <v>91</v>
      </c>
      <c r="C440" s="47" t="s">
        <v>323</v>
      </c>
      <c r="D440" s="242"/>
      <c r="E440" s="242"/>
      <c r="F440" s="267"/>
      <c r="G440" s="268"/>
      <c r="H440" s="272">
        <f>$H$421*0.82</f>
        <v>85.135028205128208</v>
      </c>
      <c r="I440" s="408"/>
    </row>
    <row r="441" spans="1:9" ht="15.75" x14ac:dyDescent="0.25">
      <c r="A441" s="77" t="s">
        <v>554</v>
      </c>
      <c r="B441" s="252" t="s">
        <v>92</v>
      </c>
      <c r="C441" s="47" t="s">
        <v>322</v>
      </c>
      <c r="D441" s="242"/>
      <c r="E441" s="242"/>
      <c r="F441" s="267"/>
      <c r="G441" s="268"/>
      <c r="H441" s="272">
        <f>$H$428*0.82</f>
        <v>0.2247079430769231</v>
      </c>
      <c r="I441" s="408"/>
    </row>
    <row r="442" spans="1:9" ht="15.75" x14ac:dyDescent="0.25">
      <c r="A442" s="77" t="s">
        <v>182</v>
      </c>
      <c r="B442" s="251" t="s">
        <v>87</v>
      </c>
      <c r="C442" s="47"/>
      <c r="D442" s="47"/>
      <c r="E442" s="47"/>
      <c r="F442" s="256"/>
      <c r="G442" s="257"/>
      <c r="H442" s="257">
        <v>0</v>
      </c>
      <c r="I442" s="392" t="s">
        <v>629</v>
      </c>
    </row>
    <row r="443" spans="1:9" ht="15.75" x14ac:dyDescent="0.25">
      <c r="A443" s="77" t="s">
        <v>183</v>
      </c>
      <c r="B443" s="251" t="s">
        <v>88</v>
      </c>
      <c r="C443" s="47"/>
      <c r="D443" s="47"/>
      <c r="E443" s="47"/>
      <c r="F443" s="256"/>
      <c r="G443" s="257"/>
      <c r="H443" s="257">
        <v>0</v>
      </c>
      <c r="I443" s="392" t="s">
        <v>54</v>
      </c>
    </row>
    <row r="444" spans="1:9" ht="31.5" x14ac:dyDescent="0.25">
      <c r="A444" s="269" t="s">
        <v>184</v>
      </c>
      <c r="B444" s="270" t="s">
        <v>95</v>
      </c>
      <c r="C444" s="242"/>
      <c r="D444" s="242"/>
      <c r="E444" s="242"/>
      <c r="F444" s="267"/>
      <c r="G444" s="268"/>
      <c r="H444" s="268"/>
      <c r="I444" s="407">
        <v>1.05</v>
      </c>
    </row>
    <row r="445" spans="1:9" ht="31.5" x14ac:dyDescent="0.25">
      <c r="A445" s="77" t="s">
        <v>185</v>
      </c>
      <c r="B445" s="251" t="s">
        <v>85</v>
      </c>
      <c r="C445" s="47"/>
      <c r="D445" s="47"/>
      <c r="E445" s="47"/>
      <c r="F445" s="256"/>
      <c r="G445" s="257"/>
      <c r="H445" s="257">
        <v>0</v>
      </c>
      <c r="I445" s="392" t="s">
        <v>629</v>
      </c>
    </row>
    <row r="446" spans="1:9" ht="15.75" x14ac:dyDescent="0.25">
      <c r="A446" s="77" t="s">
        <v>186</v>
      </c>
      <c r="B446" s="251" t="s">
        <v>86</v>
      </c>
      <c r="C446" s="47"/>
      <c r="D446" s="47"/>
      <c r="E446" s="47"/>
      <c r="F446" s="256"/>
      <c r="G446" s="257"/>
      <c r="H446" s="257"/>
      <c r="I446" s="393"/>
    </row>
    <row r="447" spans="1:9" ht="15.75" x14ac:dyDescent="0.25">
      <c r="A447" s="77" t="s">
        <v>555</v>
      </c>
      <c r="B447" s="252" t="s">
        <v>90</v>
      </c>
      <c r="C447" s="47" t="s">
        <v>355</v>
      </c>
      <c r="D447" s="127"/>
      <c r="E447" s="127"/>
      <c r="F447" s="227"/>
      <c r="G447" s="228"/>
      <c r="H447" s="272">
        <f>$H$414*1.05</f>
        <v>120.22836201923079</v>
      </c>
      <c r="I447" s="393"/>
    </row>
    <row r="448" spans="1:9" ht="15.75" x14ac:dyDescent="0.25">
      <c r="A448" s="77" t="s">
        <v>556</v>
      </c>
      <c r="B448" s="252" t="s">
        <v>91</v>
      </c>
      <c r="C448" s="47" t="s">
        <v>323</v>
      </c>
      <c r="D448" s="127"/>
      <c r="E448" s="127"/>
      <c r="F448" s="227"/>
      <c r="G448" s="228"/>
      <c r="H448" s="272">
        <f>$H$421*1.05</f>
        <v>109.0143653846154</v>
      </c>
      <c r="I448" s="393"/>
    </row>
    <row r="449" spans="1:9" ht="15.75" x14ac:dyDescent="0.25">
      <c r="A449" s="77" t="s">
        <v>557</v>
      </c>
      <c r="B449" s="273" t="s">
        <v>92</v>
      </c>
      <c r="C449" s="274" t="s">
        <v>322</v>
      </c>
      <c r="D449" s="242"/>
      <c r="E449" s="242"/>
      <c r="F449" s="267"/>
      <c r="G449" s="268"/>
      <c r="H449" s="272">
        <f>$H$428*1.05</f>
        <v>0.28773578076923084</v>
      </c>
      <c r="I449" s="409"/>
    </row>
    <row r="450" spans="1:9" ht="15.75" x14ac:dyDescent="0.25">
      <c r="A450" s="77" t="s">
        <v>187</v>
      </c>
      <c r="B450" s="251" t="s">
        <v>87</v>
      </c>
      <c r="C450" s="127"/>
      <c r="D450" s="127"/>
      <c r="E450" s="127"/>
      <c r="F450" s="227"/>
      <c r="G450" s="228"/>
      <c r="H450" s="261">
        <v>0</v>
      </c>
      <c r="I450" s="392" t="s">
        <v>629</v>
      </c>
    </row>
    <row r="451" spans="1:9" ht="15.75" x14ac:dyDescent="0.25">
      <c r="A451" s="339" t="s">
        <v>188</v>
      </c>
      <c r="B451" s="336" t="s">
        <v>88</v>
      </c>
      <c r="C451" s="242"/>
      <c r="D451" s="242"/>
      <c r="E451" s="242"/>
      <c r="F451" s="267"/>
      <c r="G451" s="268"/>
      <c r="H451" s="349">
        <v>0</v>
      </c>
      <c r="I451" s="410" t="s">
        <v>54</v>
      </c>
    </row>
    <row r="452" spans="1:9" ht="31.5" x14ac:dyDescent="0.25">
      <c r="A452" s="269" t="s">
        <v>617</v>
      </c>
      <c r="B452" s="383" t="s">
        <v>618</v>
      </c>
      <c r="C452" s="127"/>
      <c r="D452" s="127"/>
      <c r="E452" s="127"/>
      <c r="F452" s="227"/>
      <c r="G452" s="228"/>
      <c r="H452" s="261"/>
      <c r="I452" s="392">
        <v>0.79</v>
      </c>
    </row>
    <row r="453" spans="1:9" ht="31.5" x14ac:dyDescent="0.25">
      <c r="A453" s="77" t="s">
        <v>619</v>
      </c>
      <c r="B453" s="251" t="s">
        <v>85</v>
      </c>
      <c r="C453" s="127"/>
      <c r="D453" s="127"/>
      <c r="E453" s="127"/>
      <c r="F453" s="227"/>
      <c r="G453" s="228"/>
      <c r="H453" s="261">
        <v>0</v>
      </c>
      <c r="I453" s="392" t="s">
        <v>629</v>
      </c>
    </row>
    <row r="454" spans="1:9" ht="15.75" x14ac:dyDescent="0.25">
      <c r="A454" s="77" t="s">
        <v>620</v>
      </c>
      <c r="B454" s="251" t="s">
        <v>86</v>
      </c>
      <c r="C454" s="127"/>
      <c r="D454" s="127"/>
      <c r="E454" s="127"/>
      <c r="F454" s="227"/>
      <c r="G454" s="228"/>
      <c r="H454" s="261"/>
      <c r="I454" s="393"/>
    </row>
    <row r="455" spans="1:9" ht="15.75" x14ac:dyDescent="0.25">
      <c r="A455" s="77" t="s">
        <v>621</v>
      </c>
      <c r="B455" s="252" t="s">
        <v>90</v>
      </c>
      <c r="C455" s="127" t="s">
        <v>355</v>
      </c>
      <c r="D455" s="127"/>
      <c r="E455" s="127"/>
      <c r="F455" s="227"/>
      <c r="G455" s="228"/>
      <c r="H455" s="261">
        <f>$H$414*0.79</f>
        <v>90.457529519230775</v>
      </c>
      <c r="I455" s="393"/>
    </row>
    <row r="456" spans="1:9" ht="15.75" x14ac:dyDescent="0.25">
      <c r="A456" s="77" t="s">
        <v>622</v>
      </c>
      <c r="B456" s="252" t="s">
        <v>91</v>
      </c>
      <c r="C456" s="127" t="s">
        <v>323</v>
      </c>
      <c r="D456" s="127"/>
      <c r="E456" s="127"/>
      <c r="F456" s="227"/>
      <c r="G456" s="228"/>
      <c r="H456" s="261">
        <f>$H$421*0.79</f>
        <v>82.020332051282068</v>
      </c>
      <c r="I456" s="393"/>
    </row>
    <row r="457" spans="1:9" ht="15.75" x14ac:dyDescent="0.25">
      <c r="A457" s="77" t="s">
        <v>623</v>
      </c>
      <c r="B457" s="273" t="s">
        <v>92</v>
      </c>
      <c r="C457" s="127" t="s">
        <v>322</v>
      </c>
      <c r="D457" s="127"/>
      <c r="E457" s="127"/>
      <c r="F457" s="227"/>
      <c r="G457" s="228"/>
      <c r="H457" s="261">
        <f>$H$428*0.79</f>
        <v>0.21648692076923082</v>
      </c>
      <c r="I457" s="393"/>
    </row>
    <row r="458" spans="1:9" ht="15.75" x14ac:dyDescent="0.25">
      <c r="A458" s="77" t="s">
        <v>624</v>
      </c>
      <c r="B458" s="251" t="s">
        <v>87</v>
      </c>
      <c r="C458" s="127"/>
      <c r="D458" s="127"/>
      <c r="E458" s="127"/>
      <c r="F458" s="227"/>
      <c r="G458" s="228"/>
      <c r="H458" s="261">
        <v>0</v>
      </c>
      <c r="I458" s="392" t="s">
        <v>629</v>
      </c>
    </row>
    <row r="459" spans="1:9" ht="15.75" x14ac:dyDescent="0.25">
      <c r="A459" s="339" t="s">
        <v>625</v>
      </c>
      <c r="B459" s="336" t="s">
        <v>88</v>
      </c>
      <c r="C459" s="242"/>
      <c r="D459" s="242"/>
      <c r="E459" s="242"/>
      <c r="F459" s="267"/>
      <c r="G459" s="268"/>
      <c r="H459" s="349">
        <v>0</v>
      </c>
      <c r="I459" s="410" t="s">
        <v>54</v>
      </c>
    </row>
  </sheetData>
  <mergeCells count="4">
    <mergeCell ref="A1:H1"/>
    <mergeCell ref="A2:H2"/>
    <mergeCell ref="A3:H3"/>
    <mergeCell ref="A4:H4"/>
  </mergeCells>
  <pageMargins left="0.7" right="0.7" top="0.75" bottom="0.75" header="0.3" footer="0.3"/>
  <legacyDrawing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K371"/>
  <sheetViews>
    <sheetView zoomScale="90" zoomScaleNormal="90" workbookViewId="0">
      <pane ySplit="7" topLeftCell="A8" activePane="bottomLeft" state="frozen"/>
      <selection pane="bottomLeft" activeCell="A5" sqref="A5"/>
    </sheetView>
  </sheetViews>
  <sheetFormatPr defaultRowHeight="15" x14ac:dyDescent="0.25"/>
  <cols>
    <col min="1" max="1" width="9.28515625" style="30" bestFit="1" customWidth="1"/>
    <col min="2" max="2" width="50.140625" style="16" customWidth="1"/>
    <col min="3" max="3" width="26.140625" style="30" customWidth="1"/>
    <col min="4" max="4" width="19.85546875" style="16" customWidth="1"/>
    <col min="5" max="5" width="22.140625" style="30" customWidth="1"/>
    <col min="6" max="6" width="22.28515625" style="31" customWidth="1"/>
    <col min="7" max="7" width="38" style="61" customWidth="1"/>
    <col min="8" max="8" width="18.42578125" style="16" customWidth="1"/>
    <col min="9" max="9" width="13.28515625" style="16" bestFit="1" customWidth="1"/>
    <col min="10" max="10" width="12.140625" style="16" bestFit="1" customWidth="1"/>
    <col min="11" max="11" width="13.28515625" style="16" bestFit="1" customWidth="1"/>
    <col min="12" max="16384" width="9.140625" style="16"/>
  </cols>
  <sheetData>
    <row r="1" spans="1:11" ht="15.75" x14ac:dyDescent="0.25">
      <c r="A1" s="442" t="s">
        <v>380</v>
      </c>
      <c r="B1" s="442"/>
      <c r="C1" s="442"/>
      <c r="D1" s="442"/>
      <c r="E1" s="442"/>
      <c r="F1" s="442"/>
      <c r="G1" s="442"/>
      <c r="H1" s="19"/>
      <c r="I1" s="19"/>
      <c r="J1" s="19"/>
      <c r="K1" s="19"/>
    </row>
    <row r="2" spans="1:11" ht="15.75" x14ac:dyDescent="0.25">
      <c r="A2" s="443" t="s">
        <v>55</v>
      </c>
      <c r="B2" s="443"/>
      <c r="C2" s="443"/>
      <c r="D2" s="443"/>
      <c r="E2" s="443"/>
      <c r="F2" s="443"/>
      <c r="G2" s="443"/>
      <c r="H2" s="20"/>
      <c r="I2" s="20"/>
      <c r="J2" s="20"/>
      <c r="K2" s="20"/>
    </row>
    <row r="3" spans="1:11" ht="15.75" x14ac:dyDescent="0.25">
      <c r="A3" s="443" t="s">
        <v>206</v>
      </c>
      <c r="B3" s="443"/>
      <c r="C3" s="443"/>
      <c r="D3" s="443"/>
      <c r="E3" s="443"/>
      <c r="F3" s="443"/>
      <c r="G3" s="443"/>
      <c r="H3" s="20"/>
      <c r="I3" s="20"/>
      <c r="J3" s="20"/>
      <c r="K3" s="20"/>
    </row>
    <row r="4" spans="1:11" ht="15.75" x14ac:dyDescent="0.25">
      <c r="A4" s="444" t="s">
        <v>664</v>
      </c>
      <c r="B4" s="444"/>
      <c r="C4" s="444"/>
      <c r="D4" s="444"/>
      <c r="E4" s="444"/>
      <c r="F4" s="444"/>
      <c r="G4" s="444"/>
      <c r="H4" s="21"/>
      <c r="I4" s="21"/>
      <c r="J4" s="21"/>
      <c r="K4" s="21"/>
    </row>
    <row r="6" spans="1:11" ht="31.5" x14ac:dyDescent="0.25">
      <c r="A6" s="118" t="s">
        <v>96</v>
      </c>
      <c r="B6" s="119" t="s">
        <v>644</v>
      </c>
      <c r="C6" s="119" t="s">
        <v>98</v>
      </c>
      <c r="D6" s="114" t="s">
        <v>113</v>
      </c>
      <c r="E6" s="119" t="s">
        <v>110</v>
      </c>
      <c r="F6" s="298" t="s">
        <v>111</v>
      </c>
      <c r="G6" s="299" t="s">
        <v>53</v>
      </c>
    </row>
    <row r="7" spans="1:11" s="18" customFormat="1" ht="15.75" x14ac:dyDescent="0.25">
      <c r="A7" s="77" t="s">
        <v>11</v>
      </c>
      <c r="B7" s="17" t="s">
        <v>12</v>
      </c>
      <c r="C7" s="17" t="s">
        <v>13</v>
      </c>
      <c r="D7" s="17">
        <v>1</v>
      </c>
      <c r="E7" s="47">
        <v>2</v>
      </c>
      <c r="F7" s="256" t="s">
        <v>112</v>
      </c>
      <c r="G7" s="259"/>
    </row>
    <row r="8" spans="1:11" s="18" customFormat="1" ht="15.75" x14ac:dyDescent="0.25">
      <c r="A8" s="133" t="s">
        <v>25</v>
      </c>
      <c r="B8" s="8" t="s">
        <v>83</v>
      </c>
      <c r="C8" s="17"/>
      <c r="D8" s="17"/>
      <c r="E8" s="47"/>
      <c r="F8" s="256"/>
      <c r="G8" s="259"/>
    </row>
    <row r="9" spans="1:11" s="18" customFormat="1" ht="15.75" x14ac:dyDescent="0.25">
      <c r="A9" s="78" t="s">
        <v>114</v>
      </c>
      <c r="B9" s="143" t="s">
        <v>15</v>
      </c>
      <c r="C9" s="35"/>
      <c r="D9" s="35"/>
      <c r="E9" s="160"/>
      <c r="F9" s="188"/>
      <c r="G9" s="282"/>
    </row>
    <row r="10" spans="1:11" s="9" customFormat="1" ht="15.75" x14ac:dyDescent="0.25">
      <c r="A10" s="77" t="s">
        <v>115</v>
      </c>
      <c r="B10" s="251" t="s">
        <v>16</v>
      </c>
      <c r="C10" s="47" t="s">
        <v>322</v>
      </c>
      <c r="D10" s="17"/>
      <c r="E10" s="47"/>
      <c r="F10" s="258">
        <f>SUM(F11:F16)</f>
        <v>8.9769000000000002E-2</v>
      </c>
      <c r="G10" s="259" t="s">
        <v>221</v>
      </c>
      <c r="H10" s="16"/>
    </row>
    <row r="11" spans="1:11" s="9" customFormat="1" ht="15.75" x14ac:dyDescent="0.25">
      <c r="A11" s="125" t="s">
        <v>89</v>
      </c>
      <c r="B11" s="225" t="s">
        <v>99</v>
      </c>
      <c r="C11" s="127" t="s">
        <v>100</v>
      </c>
      <c r="D11" s="127">
        <v>4.9999999999999998E-7</v>
      </c>
      <c r="E11" s="283">
        <f>VLOOKUP(VATLIEU[[#This Row],[Danh mục vật liệu]],Table1[[TÊN VẬT TƯ]:[ĐƠN GIÁ
 (Chưa VAT)]],3,0)</f>
        <v>81818</v>
      </c>
      <c r="F11" s="284">
        <f t="shared" ref="F11:F17" si="0">E11*D11</f>
        <v>4.0909000000000001E-2</v>
      </c>
      <c r="G11" s="259"/>
      <c r="H11" s="16"/>
    </row>
    <row r="12" spans="1:11" s="9" customFormat="1" ht="15.75" x14ac:dyDescent="0.25">
      <c r="A12" s="125" t="s">
        <v>89</v>
      </c>
      <c r="B12" s="225" t="s">
        <v>101</v>
      </c>
      <c r="C12" s="127" t="s">
        <v>102</v>
      </c>
      <c r="D12" s="127">
        <v>9.9999999999999995E-8</v>
      </c>
      <c r="E12" s="283">
        <f>VLOOKUP(VATLIEU[[#This Row],[Danh mục vật liệu]],Table1[[TÊN VẬT TƯ]:[ĐƠN GIÁ
 (Chưa VAT)]],3,0)</f>
        <v>60900</v>
      </c>
      <c r="F12" s="284">
        <f t="shared" si="0"/>
        <v>6.0899999999999999E-3</v>
      </c>
      <c r="G12" s="259"/>
      <c r="H12" s="16"/>
    </row>
    <row r="13" spans="1:11" s="9" customFormat="1" ht="15.75" x14ac:dyDescent="0.25">
      <c r="A13" s="125" t="s">
        <v>89</v>
      </c>
      <c r="B13" s="225" t="s">
        <v>103</v>
      </c>
      <c r="C13" s="127" t="s">
        <v>104</v>
      </c>
      <c r="D13" s="127">
        <v>1.1999999999999999E-6</v>
      </c>
      <c r="E13" s="283">
        <f>VLOOKUP(VATLIEU[[#This Row],[Danh mục vật liệu]],Table1[[TÊN VẬT TƯ]:[ĐƠN GIÁ
 (Chưa VAT)]],3,0)</f>
        <v>2600</v>
      </c>
      <c r="F13" s="284">
        <f t="shared" si="0"/>
        <v>3.1199999999999999E-3</v>
      </c>
      <c r="G13" s="259"/>
      <c r="H13" s="16"/>
    </row>
    <row r="14" spans="1:11" s="9" customFormat="1" ht="15.75" x14ac:dyDescent="0.25">
      <c r="A14" s="125" t="s">
        <v>89</v>
      </c>
      <c r="B14" s="225" t="s">
        <v>105</v>
      </c>
      <c r="C14" s="127" t="s">
        <v>104</v>
      </c>
      <c r="D14" s="127">
        <v>4.9999999999999998E-7</v>
      </c>
      <c r="E14" s="283">
        <f>VLOOKUP(VATLIEU[[#This Row],[Danh mục vật liệu]],Table1[[TÊN VẬT TƯ]:[ĐƠN GIÁ
 (Chưa VAT)]],3,0)</f>
        <v>3500</v>
      </c>
      <c r="F14" s="284">
        <f t="shared" si="0"/>
        <v>1.7499999999999998E-3</v>
      </c>
      <c r="G14" s="259"/>
      <c r="H14" s="16"/>
    </row>
    <row r="15" spans="1:11" s="9" customFormat="1" ht="15.75" x14ac:dyDescent="0.25">
      <c r="A15" s="125" t="s">
        <v>89</v>
      </c>
      <c r="B15" s="225" t="s">
        <v>106</v>
      </c>
      <c r="C15" s="127" t="s">
        <v>107</v>
      </c>
      <c r="D15" s="127">
        <v>6.9999999999999997E-7</v>
      </c>
      <c r="E15" s="283">
        <f>VLOOKUP(VATLIEU[[#This Row],[Danh mục vật liệu]],Table1[[TÊN VẬT TƯ]:[ĐƠN GIÁ
 (Chưa VAT)]],3,0)</f>
        <v>25000</v>
      </c>
      <c r="F15" s="284">
        <f t="shared" si="0"/>
        <v>1.7499999999999998E-2</v>
      </c>
      <c r="G15" s="259"/>
      <c r="H15" s="16"/>
    </row>
    <row r="16" spans="1:11" s="9" customFormat="1" ht="15.75" x14ac:dyDescent="0.25">
      <c r="A16" s="125" t="s">
        <v>89</v>
      </c>
      <c r="B16" s="225" t="s">
        <v>108</v>
      </c>
      <c r="C16" s="127" t="s">
        <v>107</v>
      </c>
      <c r="D16" s="127">
        <v>1.1999999999999999E-6</v>
      </c>
      <c r="E16" s="283">
        <f>VLOOKUP(VATLIEU[[#This Row],[Danh mục vật liệu]],Table1[[TÊN VẬT TƯ]:[ĐƠN GIÁ
 (Chưa VAT)]],3,0)</f>
        <v>17000</v>
      </c>
      <c r="F16" s="284">
        <f t="shared" si="0"/>
        <v>2.0399999999999998E-2</v>
      </c>
      <c r="G16" s="259"/>
      <c r="H16" s="16"/>
    </row>
    <row r="17" spans="1:8" s="9" customFormat="1" ht="36" customHeight="1" x14ac:dyDescent="0.25">
      <c r="A17" s="125" t="s">
        <v>89</v>
      </c>
      <c r="B17" s="225" t="s">
        <v>109</v>
      </c>
      <c r="C17" s="127" t="s">
        <v>107</v>
      </c>
      <c r="D17" s="127">
        <v>3.9999999999999998E-7</v>
      </c>
      <c r="E17" s="283">
        <f>VLOOKUP(VATLIEU[[#This Row],[Danh mục vật liệu]],Table1[[TÊN VẬT TƯ]:[ĐƠN GIÁ
 (Chưa VAT)]],3,0)</f>
        <v>4000</v>
      </c>
      <c r="F17" s="284">
        <f t="shared" si="0"/>
        <v>1.5999999999999999E-3</v>
      </c>
      <c r="G17" s="259"/>
      <c r="H17" s="16"/>
    </row>
    <row r="18" spans="1:8" s="9" customFormat="1" ht="37.5" customHeight="1" x14ac:dyDescent="0.25">
      <c r="A18" s="77" t="s">
        <v>116</v>
      </c>
      <c r="B18" s="251" t="s">
        <v>17</v>
      </c>
      <c r="C18" s="47"/>
      <c r="D18" s="252"/>
      <c r="E18" s="47"/>
      <c r="F18" s="285">
        <v>0</v>
      </c>
      <c r="G18" s="265" t="s">
        <v>530</v>
      </c>
      <c r="H18" s="16"/>
    </row>
    <row r="19" spans="1:8" s="9" customFormat="1" ht="38.25" x14ac:dyDescent="0.25">
      <c r="A19" s="77" t="s">
        <v>117</v>
      </c>
      <c r="B19" s="251" t="s">
        <v>18</v>
      </c>
      <c r="C19" s="47"/>
      <c r="D19" s="252"/>
      <c r="E19" s="47"/>
      <c r="F19" s="285">
        <v>0</v>
      </c>
      <c r="G19" s="265" t="s">
        <v>530</v>
      </c>
      <c r="H19" s="16"/>
    </row>
    <row r="20" spans="1:8" s="9" customFormat="1" ht="31.5" x14ac:dyDescent="0.25">
      <c r="A20" s="77" t="s">
        <v>118</v>
      </c>
      <c r="B20" s="251" t="s">
        <v>19</v>
      </c>
      <c r="C20" s="47"/>
      <c r="D20" s="47"/>
      <c r="E20" s="252"/>
      <c r="F20" s="285">
        <v>0</v>
      </c>
      <c r="G20" s="189" t="s">
        <v>54</v>
      </c>
      <c r="H20" s="16"/>
    </row>
    <row r="21" spans="1:8" s="9" customFormat="1" ht="15.75" x14ac:dyDescent="0.25">
      <c r="A21" s="78" t="s">
        <v>119</v>
      </c>
      <c r="B21" s="143" t="s">
        <v>20</v>
      </c>
      <c r="C21" s="44"/>
      <c r="D21" s="44"/>
      <c r="E21" s="148"/>
      <c r="F21" s="286"/>
      <c r="G21" s="282"/>
      <c r="H21" s="16"/>
    </row>
    <row r="22" spans="1:8" s="9" customFormat="1" ht="15.75" x14ac:dyDescent="0.25">
      <c r="A22" s="204"/>
      <c r="B22" s="278" t="s">
        <v>492</v>
      </c>
      <c r="C22" s="223"/>
      <c r="D22" s="223"/>
      <c r="E22" s="331"/>
      <c r="F22" s="279">
        <f>F23+F24+F29+F33</f>
        <v>7030.4520000000002</v>
      </c>
      <c r="G22" s="233" t="s">
        <v>495</v>
      </c>
      <c r="H22" s="16"/>
    </row>
    <row r="23" spans="1:8" s="9" customFormat="1" ht="15.75" x14ac:dyDescent="0.25">
      <c r="A23" s="77" t="s">
        <v>120</v>
      </c>
      <c r="B23" s="251" t="s">
        <v>21</v>
      </c>
      <c r="C23" s="47"/>
      <c r="D23" s="47"/>
      <c r="E23" s="252"/>
      <c r="F23" s="281">
        <v>0</v>
      </c>
      <c r="G23" s="189" t="s">
        <v>54</v>
      </c>
      <c r="H23" s="16"/>
    </row>
    <row r="24" spans="1:8" s="9" customFormat="1" ht="15.75" x14ac:dyDescent="0.25">
      <c r="A24" s="77" t="s">
        <v>121</v>
      </c>
      <c r="B24" s="251" t="s">
        <v>22</v>
      </c>
      <c r="C24" s="47" t="s">
        <v>300</v>
      </c>
      <c r="D24" s="47"/>
      <c r="E24" s="252"/>
      <c r="F24" s="281">
        <f>SUM(F25:F28)</f>
        <v>5356.18</v>
      </c>
      <c r="G24" s="259" t="s">
        <v>247</v>
      </c>
      <c r="H24" s="16"/>
    </row>
    <row r="25" spans="1:8" s="9" customFormat="1" ht="15.75" x14ac:dyDescent="0.25">
      <c r="A25" s="125" t="s">
        <v>89</v>
      </c>
      <c r="B25" s="225" t="s">
        <v>99</v>
      </c>
      <c r="C25" s="127" t="s">
        <v>100</v>
      </c>
      <c r="D25" s="127">
        <v>0.01</v>
      </c>
      <c r="E25" s="283">
        <f>VLOOKUP(VATLIEU[[#This Row],[Danh mục vật liệu]],Table1[[TÊN VẬT TƯ]:[ĐƠN GIÁ
 (Chưa VAT)]],3,0)</f>
        <v>81818</v>
      </c>
      <c r="F25" s="287">
        <f t="shared" ref="F25:F28" si="1">E25*D25</f>
        <v>818.18000000000006</v>
      </c>
      <c r="G25" s="259"/>
      <c r="H25" s="16"/>
    </row>
    <row r="26" spans="1:8" s="9" customFormat="1" ht="15.75" x14ac:dyDescent="0.25">
      <c r="A26" s="125" t="s">
        <v>89</v>
      </c>
      <c r="B26" s="225" t="s">
        <v>101</v>
      </c>
      <c r="C26" s="127" t="s">
        <v>102</v>
      </c>
      <c r="D26" s="127">
        <v>0.02</v>
      </c>
      <c r="E26" s="283">
        <f>VLOOKUP(VATLIEU[[#This Row],[Danh mục vật liệu]],Table1[[TÊN VẬT TƯ]:[ĐƠN GIÁ
 (Chưa VAT)]],3,0)</f>
        <v>60900</v>
      </c>
      <c r="F26" s="287">
        <f t="shared" si="1"/>
        <v>1218</v>
      </c>
      <c r="G26" s="259"/>
      <c r="H26" s="16"/>
    </row>
    <row r="27" spans="1:8" s="9" customFormat="1" ht="15.75" x14ac:dyDescent="0.25">
      <c r="A27" s="125" t="s">
        <v>89</v>
      </c>
      <c r="B27" s="225" t="s">
        <v>243</v>
      </c>
      <c r="C27" s="127" t="s">
        <v>104</v>
      </c>
      <c r="D27" s="127">
        <v>2E-3</v>
      </c>
      <c r="E27" s="283">
        <f>VLOOKUP(VATLIEU[[#This Row],[Danh mục vật liệu]],Table1[[TÊN VẬT TƯ]:[ĐƠN GIÁ
 (Chưa VAT)]],3,0)</f>
        <v>1560000</v>
      </c>
      <c r="F27" s="287">
        <f t="shared" si="1"/>
        <v>3120</v>
      </c>
      <c r="G27" s="259"/>
      <c r="H27" s="16"/>
    </row>
    <row r="28" spans="1:8" s="9" customFormat="1" ht="15.75" x14ac:dyDescent="0.25">
      <c r="A28" s="125" t="s">
        <v>89</v>
      </c>
      <c r="B28" s="225" t="s">
        <v>109</v>
      </c>
      <c r="C28" s="127" t="s">
        <v>107</v>
      </c>
      <c r="D28" s="127">
        <v>0.05</v>
      </c>
      <c r="E28" s="283">
        <f>VLOOKUP(VATLIEU[[#This Row],[Danh mục vật liệu]],Table1[[TÊN VẬT TƯ]:[ĐƠN GIÁ
 (Chưa VAT)]],3,0)</f>
        <v>4000</v>
      </c>
      <c r="F28" s="287">
        <f t="shared" si="1"/>
        <v>200</v>
      </c>
      <c r="G28" s="259"/>
      <c r="H28" s="16"/>
    </row>
    <row r="29" spans="1:8" s="9" customFormat="1" ht="15.75" x14ac:dyDescent="0.25">
      <c r="A29" s="77" t="s">
        <v>122</v>
      </c>
      <c r="B29" s="251" t="s">
        <v>23</v>
      </c>
      <c r="C29" s="47" t="s">
        <v>301</v>
      </c>
      <c r="D29" s="47"/>
      <c r="E29" s="252"/>
      <c r="F29" s="281">
        <f>SUM(F30:F32)</f>
        <v>1674.2719999999999</v>
      </c>
      <c r="G29" s="259" t="s">
        <v>247</v>
      </c>
      <c r="H29" s="16"/>
    </row>
    <row r="30" spans="1:8" s="9" customFormat="1" ht="15.75" x14ac:dyDescent="0.25">
      <c r="A30" s="79" t="s">
        <v>89</v>
      </c>
      <c r="B30" s="48" t="s">
        <v>99</v>
      </c>
      <c r="C30" s="127" t="s">
        <v>100</v>
      </c>
      <c r="D30" s="127">
        <v>4.0000000000000001E-3</v>
      </c>
      <c r="E30" s="283">
        <f>VLOOKUP(VATLIEU[[#This Row],[Danh mục vật liệu]],Table1[[TÊN VẬT TƯ]:[ĐƠN GIÁ
 (Chưa VAT)]],3,0)</f>
        <v>81818</v>
      </c>
      <c r="F30" s="287">
        <f t="shared" ref="F30:F32" si="2">E30*D30</f>
        <v>327.27199999999999</v>
      </c>
      <c r="G30" s="259"/>
      <c r="H30" s="16"/>
    </row>
    <row r="31" spans="1:8" s="9" customFormat="1" ht="15.75" x14ac:dyDescent="0.25">
      <c r="A31" s="79" t="s">
        <v>89</v>
      </c>
      <c r="B31" s="48" t="s">
        <v>243</v>
      </c>
      <c r="C31" s="127" t="s">
        <v>104</v>
      </c>
      <c r="D31" s="127">
        <v>8.0000000000000004E-4</v>
      </c>
      <c r="E31" s="283">
        <f>VLOOKUP(VATLIEU[[#This Row],[Danh mục vật liệu]],Table1[[TÊN VẬT TƯ]:[ĐƠN GIÁ
 (Chưa VAT)]],3,0)</f>
        <v>1560000</v>
      </c>
      <c r="F31" s="287">
        <f t="shared" si="2"/>
        <v>1248</v>
      </c>
      <c r="G31" s="259"/>
      <c r="H31" s="16"/>
    </row>
    <row r="32" spans="1:8" ht="15.75" x14ac:dyDescent="0.25">
      <c r="A32" s="79" t="s">
        <v>89</v>
      </c>
      <c r="B32" s="48" t="s">
        <v>244</v>
      </c>
      <c r="C32" s="127" t="s">
        <v>107</v>
      </c>
      <c r="D32" s="127">
        <v>0.03</v>
      </c>
      <c r="E32" s="283">
        <f>VLOOKUP(VATLIEU[[#This Row],[Danh mục vật liệu]],Table1[[TÊN VẬT TƯ]:[ĐƠN GIÁ
 (Chưa VAT)]],3,0)</f>
        <v>3300</v>
      </c>
      <c r="F32" s="287">
        <f t="shared" si="2"/>
        <v>99</v>
      </c>
      <c r="G32" s="259"/>
    </row>
    <row r="33" spans="1:8" ht="15.75" x14ac:dyDescent="0.25">
      <c r="A33" s="77" t="s">
        <v>123</v>
      </c>
      <c r="B33" s="251" t="s">
        <v>24</v>
      </c>
      <c r="C33" s="47"/>
      <c r="D33" s="47"/>
      <c r="E33" s="252"/>
      <c r="F33" s="281">
        <v>0</v>
      </c>
      <c r="G33" s="189" t="s">
        <v>628</v>
      </c>
    </row>
    <row r="34" spans="1:8" ht="15.75" x14ac:dyDescent="0.25">
      <c r="A34" s="202"/>
      <c r="B34" s="278" t="s">
        <v>493</v>
      </c>
      <c r="C34" s="231"/>
      <c r="D34" s="231"/>
      <c r="E34" s="323"/>
      <c r="F34" s="279">
        <f>SUM(F35:F38)</f>
        <v>4218.2712000000001</v>
      </c>
      <c r="G34" s="233" t="s">
        <v>496</v>
      </c>
      <c r="H34" s="29"/>
    </row>
    <row r="35" spans="1:8" s="9" customFormat="1" ht="15.75" x14ac:dyDescent="0.25">
      <c r="A35" s="77" t="s">
        <v>120</v>
      </c>
      <c r="B35" s="251" t="s">
        <v>21</v>
      </c>
      <c r="C35" s="47"/>
      <c r="D35" s="47"/>
      <c r="E35" s="252"/>
      <c r="F35" s="281">
        <f>VLOOKUP(VATLIEU[[#This Row],[Danh mục vật liệu]],$B$23:$F$33,5,0)*0.6</f>
        <v>0</v>
      </c>
      <c r="G35" s="189" t="s">
        <v>54</v>
      </c>
      <c r="H35" s="16"/>
    </row>
    <row r="36" spans="1:8" s="9" customFormat="1" ht="15.75" x14ac:dyDescent="0.25">
      <c r="A36" s="77" t="s">
        <v>121</v>
      </c>
      <c r="B36" s="251" t="s">
        <v>22</v>
      </c>
      <c r="C36" s="47" t="s">
        <v>300</v>
      </c>
      <c r="D36" s="47"/>
      <c r="E36" s="252"/>
      <c r="F36" s="281">
        <f>VLOOKUP(VATLIEU[[#This Row],[Danh mục vật liệu]],$B$23:$F$33,5,0)*0.6</f>
        <v>3213.7080000000001</v>
      </c>
      <c r="G36" s="189"/>
      <c r="H36" s="16"/>
    </row>
    <row r="37" spans="1:8" ht="15.75" x14ac:dyDescent="0.25">
      <c r="A37" s="77" t="s">
        <v>122</v>
      </c>
      <c r="B37" s="251" t="s">
        <v>23</v>
      </c>
      <c r="C37" s="47" t="s">
        <v>301</v>
      </c>
      <c r="D37" s="47"/>
      <c r="E37" s="252"/>
      <c r="F37" s="281">
        <f>VLOOKUP(VATLIEU[[#This Row],[Danh mục vật liệu]],$B$23:$F$33,5,0)*0.6</f>
        <v>1004.5631999999999</v>
      </c>
      <c r="G37" s="189"/>
      <c r="H37" s="29"/>
    </row>
    <row r="38" spans="1:8" ht="15.75" x14ac:dyDescent="0.25">
      <c r="A38" s="77" t="s">
        <v>123</v>
      </c>
      <c r="B38" s="251" t="s">
        <v>24</v>
      </c>
      <c r="C38" s="47"/>
      <c r="D38" s="47"/>
      <c r="E38" s="252"/>
      <c r="F38" s="281">
        <f>VLOOKUP(VATLIEU[[#This Row],[Danh mục vật liệu]],$B$23:$F$33,5,0)*0.6</f>
        <v>0</v>
      </c>
      <c r="G38" s="189" t="s">
        <v>628</v>
      </c>
      <c r="H38" s="29"/>
    </row>
    <row r="39" spans="1:8" s="9" customFormat="1" ht="15.75" x14ac:dyDescent="0.25">
      <c r="A39" s="204"/>
      <c r="B39" s="278" t="s">
        <v>494</v>
      </c>
      <c r="C39" s="231"/>
      <c r="D39" s="231"/>
      <c r="E39" s="323"/>
      <c r="F39" s="279">
        <f>SUM(F40:F43)</f>
        <v>1406.0904</v>
      </c>
      <c r="G39" s="233" t="s">
        <v>497</v>
      </c>
      <c r="H39" s="16"/>
    </row>
    <row r="40" spans="1:8" s="9" customFormat="1" ht="15.75" x14ac:dyDescent="0.25">
      <c r="A40" s="77" t="s">
        <v>120</v>
      </c>
      <c r="B40" s="251" t="s">
        <v>21</v>
      </c>
      <c r="C40" s="47"/>
      <c r="D40" s="47"/>
      <c r="E40" s="252"/>
      <c r="F40" s="281">
        <f>VLOOKUP(VATLIEU[[#This Row],[Danh mục vật liệu]],$B$23:$F$33,5,0)*0.2</f>
        <v>0</v>
      </c>
      <c r="G40" s="189" t="s">
        <v>54</v>
      </c>
      <c r="H40" s="16"/>
    </row>
    <row r="41" spans="1:8" s="9" customFormat="1" ht="15.75" x14ac:dyDescent="0.25">
      <c r="A41" s="77" t="s">
        <v>121</v>
      </c>
      <c r="B41" s="251" t="s">
        <v>22</v>
      </c>
      <c r="C41" s="47" t="s">
        <v>300</v>
      </c>
      <c r="D41" s="47"/>
      <c r="E41" s="252"/>
      <c r="F41" s="281">
        <f>VLOOKUP(VATLIEU[[#This Row],[Danh mục vật liệu]],$B$23:$F$33,5,0)*0.2</f>
        <v>1071.2360000000001</v>
      </c>
      <c r="G41" s="189"/>
      <c r="H41" s="16"/>
    </row>
    <row r="42" spans="1:8" ht="15.75" x14ac:dyDescent="0.25">
      <c r="A42" s="77" t="s">
        <v>122</v>
      </c>
      <c r="B42" s="251" t="s">
        <v>23</v>
      </c>
      <c r="C42" s="47" t="s">
        <v>301</v>
      </c>
      <c r="D42" s="47"/>
      <c r="E42" s="252"/>
      <c r="F42" s="281">
        <f>VLOOKUP(VATLIEU[[#This Row],[Danh mục vật liệu]],$B$23:$F$33,5,0)*0.2</f>
        <v>334.8544</v>
      </c>
      <c r="G42" s="189"/>
      <c r="H42" s="29"/>
    </row>
    <row r="43" spans="1:8" s="9" customFormat="1" ht="15.75" x14ac:dyDescent="0.25">
      <c r="A43" s="77" t="s">
        <v>123</v>
      </c>
      <c r="B43" s="251" t="s">
        <v>24</v>
      </c>
      <c r="C43" s="47"/>
      <c r="D43" s="47"/>
      <c r="E43" s="252"/>
      <c r="F43" s="281">
        <f>VLOOKUP(VATLIEU[[#This Row],[Danh mục vật liệu]],$B$23:$F$33,5,0)*0.2</f>
        <v>0</v>
      </c>
      <c r="G43" s="189" t="s">
        <v>628</v>
      </c>
      <c r="H43" s="16"/>
    </row>
    <row r="44" spans="1:8" s="9" customFormat="1" ht="31.5" x14ac:dyDescent="0.25">
      <c r="A44" s="78" t="s">
        <v>26</v>
      </c>
      <c r="B44" s="143" t="s">
        <v>27</v>
      </c>
      <c r="C44" s="44"/>
      <c r="D44" s="44"/>
      <c r="E44" s="148"/>
      <c r="F44" s="288"/>
      <c r="G44" s="282"/>
      <c r="H44" s="16"/>
    </row>
    <row r="45" spans="1:8" s="9" customFormat="1" ht="15.75" x14ac:dyDescent="0.25">
      <c r="A45" s="78" t="s">
        <v>124</v>
      </c>
      <c r="B45" s="143" t="s">
        <v>28</v>
      </c>
      <c r="C45" s="44"/>
      <c r="D45" s="44"/>
      <c r="E45" s="148"/>
      <c r="F45" s="288"/>
      <c r="G45" s="282"/>
      <c r="H45" s="16"/>
    </row>
    <row r="46" spans="1:8" s="9" customFormat="1" ht="15.75" x14ac:dyDescent="0.25">
      <c r="A46" s="204"/>
      <c r="B46" s="278" t="s">
        <v>498</v>
      </c>
      <c r="C46" s="223"/>
      <c r="D46" s="223"/>
      <c r="E46" s="331"/>
      <c r="F46" s="279">
        <f>F47+F50+F51+F55+F61+F66+F71+F75+F80+F83+F90+F94+F95</f>
        <v>1473892.8748000001</v>
      </c>
      <c r="G46" s="330"/>
      <c r="H46" s="16"/>
    </row>
    <row r="47" spans="1:8" s="9" customFormat="1" ht="31.5" x14ac:dyDescent="0.25">
      <c r="A47" s="77" t="s">
        <v>125</v>
      </c>
      <c r="B47" s="251" t="s">
        <v>29</v>
      </c>
      <c r="C47" s="47" t="s">
        <v>248</v>
      </c>
      <c r="D47" s="47"/>
      <c r="E47" s="252"/>
      <c r="F47" s="281">
        <f>SUM(F48:F49)</f>
        <v>469.52719999999994</v>
      </c>
      <c r="G47" s="259" t="s">
        <v>262</v>
      </c>
      <c r="H47" s="16"/>
    </row>
    <row r="48" spans="1:8" ht="15.75" x14ac:dyDescent="0.25">
      <c r="A48" s="79" t="s">
        <v>89</v>
      </c>
      <c r="B48" s="48" t="s">
        <v>99</v>
      </c>
      <c r="C48" s="127" t="s">
        <v>100</v>
      </c>
      <c r="D48" s="127">
        <v>4.0000000000000002E-4</v>
      </c>
      <c r="E48" s="283">
        <f>VLOOKUP(VATLIEU[[#This Row],[Danh mục vật liệu]],Table1[[TÊN VẬT TƯ]:[ĐƠN GIÁ
 (Chưa VAT)]],3,0)</f>
        <v>81818</v>
      </c>
      <c r="F48" s="287">
        <f t="shared" ref="F48:F49" si="3">E48*D48</f>
        <v>32.727200000000003</v>
      </c>
      <c r="G48" s="259"/>
      <c r="H48" s="29"/>
    </row>
    <row r="49" spans="1:8" s="9" customFormat="1" ht="15.75" x14ac:dyDescent="0.25">
      <c r="A49" s="79" t="s">
        <v>89</v>
      </c>
      <c r="B49" s="48" t="s">
        <v>243</v>
      </c>
      <c r="C49" s="127" t="s">
        <v>104</v>
      </c>
      <c r="D49" s="127">
        <v>2.7999999999999998E-4</v>
      </c>
      <c r="E49" s="283">
        <f>VLOOKUP(VATLIEU[[#This Row],[Danh mục vật liệu]],Table1[[TÊN VẬT TƯ]:[ĐƠN GIÁ
 (Chưa VAT)]],3,0)</f>
        <v>1560000</v>
      </c>
      <c r="F49" s="287">
        <f t="shared" si="3"/>
        <v>436.79999999999995</v>
      </c>
      <c r="G49" s="259"/>
      <c r="H49" s="16"/>
    </row>
    <row r="50" spans="1:8" s="9" customFormat="1" ht="31.5" x14ac:dyDescent="0.25">
      <c r="A50" s="77" t="s">
        <v>126</v>
      </c>
      <c r="B50" s="251" t="s">
        <v>30</v>
      </c>
      <c r="C50" s="47"/>
      <c r="D50" s="47"/>
      <c r="E50" s="252"/>
      <c r="F50" s="281">
        <v>0</v>
      </c>
      <c r="G50" s="189" t="s">
        <v>628</v>
      </c>
      <c r="H50" s="16"/>
    </row>
    <row r="51" spans="1:8" s="9" customFormat="1" ht="15.75" x14ac:dyDescent="0.25">
      <c r="A51" s="77" t="s">
        <v>127</v>
      </c>
      <c r="B51" s="251" t="s">
        <v>31</v>
      </c>
      <c r="C51" s="47" t="s">
        <v>248</v>
      </c>
      <c r="D51" s="47"/>
      <c r="E51" s="252"/>
      <c r="F51" s="281">
        <f>SUM(F52:F54)</f>
        <v>61.690799999999996</v>
      </c>
      <c r="G51" s="259" t="s">
        <v>262</v>
      </c>
      <c r="H51" s="16"/>
    </row>
    <row r="52" spans="1:8" s="9" customFormat="1" ht="15.75" x14ac:dyDescent="0.25">
      <c r="A52" s="79" t="s">
        <v>89</v>
      </c>
      <c r="B52" s="48" t="s">
        <v>99</v>
      </c>
      <c r="C52" s="127" t="s">
        <v>100</v>
      </c>
      <c r="D52" s="127">
        <v>5.9999999999999995E-4</v>
      </c>
      <c r="E52" s="283">
        <f>VLOOKUP(VATLIEU[[#This Row],[Danh mục vật liệu]],Table1[[TÊN VẬT TƯ]:[ĐƠN GIÁ
 (Chưa VAT)]],3,0)</f>
        <v>81818</v>
      </c>
      <c r="F52" s="287">
        <f t="shared" ref="F52:F54" si="4">E52*D52</f>
        <v>49.090799999999994</v>
      </c>
      <c r="G52" s="259"/>
      <c r="H52" s="16"/>
    </row>
    <row r="53" spans="1:8" ht="15.75" customHeight="1" x14ac:dyDescent="0.25">
      <c r="A53" s="79" t="s">
        <v>89</v>
      </c>
      <c r="B53" s="48" t="s">
        <v>109</v>
      </c>
      <c r="C53" s="127" t="s">
        <v>107</v>
      </c>
      <c r="D53" s="127">
        <v>1.5E-3</v>
      </c>
      <c r="E53" s="283">
        <f>VLOOKUP(VATLIEU[[#This Row],[Danh mục vật liệu]],Table1[[TÊN VẬT TƯ]:[ĐƠN GIÁ
 (Chưa VAT)]],3,0)</f>
        <v>4000</v>
      </c>
      <c r="F53" s="287">
        <f t="shared" si="4"/>
        <v>6</v>
      </c>
      <c r="G53" s="259"/>
      <c r="H53" s="29"/>
    </row>
    <row r="54" spans="1:8" s="9" customFormat="1" ht="15.75" x14ac:dyDescent="0.25">
      <c r="A54" s="79" t="s">
        <v>89</v>
      </c>
      <c r="B54" s="48" t="s">
        <v>253</v>
      </c>
      <c r="C54" s="127" t="s">
        <v>107</v>
      </c>
      <c r="D54" s="127">
        <v>2.9999999999999997E-4</v>
      </c>
      <c r="E54" s="283">
        <f>VLOOKUP(VATLIEU[[#This Row],[Danh mục vật liệu]],Table1[[TÊN VẬT TƯ]:[ĐƠN GIÁ
 (Chưa VAT)]],3,0)</f>
        <v>22000</v>
      </c>
      <c r="F54" s="287">
        <f t="shared" si="4"/>
        <v>6.6</v>
      </c>
      <c r="G54" s="259"/>
      <c r="H54" s="16"/>
    </row>
    <row r="55" spans="1:8" s="9" customFormat="1" ht="15.75" x14ac:dyDescent="0.25">
      <c r="A55" s="77" t="s">
        <v>128</v>
      </c>
      <c r="B55" s="251" t="s">
        <v>32</v>
      </c>
      <c r="C55" s="47" t="s">
        <v>248</v>
      </c>
      <c r="D55" s="47"/>
      <c r="E55" s="252"/>
      <c r="F55" s="281">
        <f>SUM(F56:F60)</f>
        <v>4571.3448000000008</v>
      </c>
      <c r="G55" s="259" t="s">
        <v>262</v>
      </c>
      <c r="H55" s="16"/>
    </row>
    <row r="56" spans="1:8" s="9" customFormat="1" ht="15.75" x14ac:dyDescent="0.25">
      <c r="A56" s="79" t="s">
        <v>89</v>
      </c>
      <c r="B56" s="48" t="s">
        <v>99</v>
      </c>
      <c r="C56" s="127" t="s">
        <v>100</v>
      </c>
      <c r="D56" s="127">
        <v>3.5999999999999999E-3</v>
      </c>
      <c r="E56" s="283">
        <f>VLOOKUP(VATLIEU[[#This Row],[Danh mục vật liệu]],Table1[[TÊN VẬT TƯ]:[ĐƠN GIÁ
 (Chưa VAT)]],3,0)</f>
        <v>81818</v>
      </c>
      <c r="F56" s="287">
        <f t="shared" ref="F56:F60" si="5">E56*D56</f>
        <v>294.54480000000001</v>
      </c>
      <c r="G56" s="259"/>
      <c r="H56" s="16"/>
    </row>
    <row r="57" spans="1:8" s="9" customFormat="1" ht="15.75" x14ac:dyDescent="0.25">
      <c r="A57" s="79" t="s">
        <v>89</v>
      </c>
      <c r="B57" s="48" t="s">
        <v>243</v>
      </c>
      <c r="C57" s="127" t="s">
        <v>104</v>
      </c>
      <c r="D57" s="127">
        <v>2.5200000000000001E-3</v>
      </c>
      <c r="E57" s="283">
        <f>VLOOKUP(VATLIEU[[#This Row],[Danh mục vật liệu]],Table1[[TÊN VẬT TƯ]:[ĐƠN GIÁ
 (Chưa VAT)]],3,0)</f>
        <v>1560000</v>
      </c>
      <c r="F57" s="287">
        <f t="shared" si="5"/>
        <v>3931.2000000000003</v>
      </c>
      <c r="G57" s="259"/>
      <c r="H57" s="16"/>
    </row>
    <row r="58" spans="1:8" ht="15.75" x14ac:dyDescent="0.25">
      <c r="A58" s="79" t="s">
        <v>89</v>
      </c>
      <c r="B58" s="48" t="s">
        <v>254</v>
      </c>
      <c r="C58" s="127" t="s">
        <v>104</v>
      </c>
      <c r="D58" s="127">
        <v>1.7999999999999999E-2</v>
      </c>
      <c r="E58" s="283">
        <f>VLOOKUP(VATLIEU[[#This Row],[Danh mục vật liệu]],Table1[[TÊN VẬT TƯ]:[ĐƠN GIÁ
 (Chưa VAT)]],3,0)</f>
        <v>15000</v>
      </c>
      <c r="F58" s="287">
        <f t="shared" si="5"/>
        <v>270</v>
      </c>
      <c r="G58" s="259"/>
      <c r="H58" s="29"/>
    </row>
    <row r="59" spans="1:8" s="9" customFormat="1" ht="15.75" x14ac:dyDescent="0.25">
      <c r="A59" s="79" t="s">
        <v>89</v>
      </c>
      <c r="B59" s="48" t="s">
        <v>109</v>
      </c>
      <c r="C59" s="127" t="s">
        <v>107</v>
      </c>
      <c r="D59" s="127">
        <v>8.9999999999999993E-3</v>
      </c>
      <c r="E59" s="283">
        <f>VLOOKUP(VATLIEU[[#This Row],[Danh mục vật liệu]],Table1[[TÊN VẬT TƯ]:[ĐƠN GIÁ
 (Chưa VAT)]],3,0)</f>
        <v>4000</v>
      </c>
      <c r="F59" s="287">
        <f t="shared" si="5"/>
        <v>36</v>
      </c>
      <c r="G59" s="259"/>
      <c r="H59" s="16"/>
    </row>
    <row r="60" spans="1:8" s="9" customFormat="1" ht="15.75" x14ac:dyDescent="0.25">
      <c r="A60" s="79" t="s">
        <v>89</v>
      </c>
      <c r="B60" s="48" t="s">
        <v>253</v>
      </c>
      <c r="C60" s="127" t="s">
        <v>107</v>
      </c>
      <c r="D60" s="127">
        <v>1.8E-3</v>
      </c>
      <c r="E60" s="283">
        <f>VLOOKUP(VATLIEU[[#This Row],[Danh mục vật liệu]],Table1[[TÊN VẬT TƯ]:[ĐƠN GIÁ
 (Chưa VAT)]],3,0)</f>
        <v>22000</v>
      </c>
      <c r="F60" s="287">
        <f t="shared" si="5"/>
        <v>39.6</v>
      </c>
      <c r="G60" s="259"/>
      <c r="H60" s="16"/>
    </row>
    <row r="61" spans="1:8" s="9" customFormat="1" ht="15.75" x14ac:dyDescent="0.25">
      <c r="A61" s="77" t="s">
        <v>129</v>
      </c>
      <c r="B61" s="251" t="s">
        <v>33</v>
      </c>
      <c r="C61" s="47" t="s">
        <v>248</v>
      </c>
      <c r="D61" s="47"/>
      <c r="E61" s="252"/>
      <c r="F61" s="281">
        <f>SUM(F62:F65)</f>
        <v>161558</v>
      </c>
      <c r="G61" s="259" t="s">
        <v>262</v>
      </c>
      <c r="H61" s="16"/>
    </row>
    <row r="62" spans="1:8" ht="15.75" x14ac:dyDescent="0.25">
      <c r="A62" s="79" t="s">
        <v>89</v>
      </c>
      <c r="B62" s="48" t="s">
        <v>99</v>
      </c>
      <c r="C62" s="127" t="s">
        <v>100</v>
      </c>
      <c r="D62" s="127">
        <v>0.4</v>
      </c>
      <c r="E62" s="283">
        <f>VLOOKUP(VATLIEU[[#This Row],[Danh mục vật liệu]],Table1[[TÊN VẬT TƯ]:[ĐƠN GIÁ
 (Chưa VAT)]],3,0)</f>
        <v>81818</v>
      </c>
      <c r="F62" s="287">
        <f t="shared" ref="F62:F65" si="6">E62*D62</f>
        <v>32727.200000000001</v>
      </c>
      <c r="G62" s="259"/>
      <c r="H62" s="29"/>
    </row>
    <row r="63" spans="1:8" s="9" customFormat="1" ht="15.75" x14ac:dyDescent="0.25">
      <c r="A63" s="79" t="s">
        <v>89</v>
      </c>
      <c r="B63" s="48" t="s">
        <v>243</v>
      </c>
      <c r="C63" s="127" t="s">
        <v>104</v>
      </c>
      <c r="D63" s="127">
        <v>0.08</v>
      </c>
      <c r="E63" s="283">
        <f>VLOOKUP(VATLIEU[[#This Row],[Danh mục vật liệu]],Table1[[TÊN VẬT TƯ]:[ĐƠN GIÁ
 (Chưa VAT)]],3,0)</f>
        <v>1560000</v>
      </c>
      <c r="F63" s="287">
        <f t="shared" si="6"/>
        <v>124800</v>
      </c>
      <c r="G63" s="259"/>
      <c r="H63" s="16"/>
    </row>
    <row r="64" spans="1:8" s="9" customFormat="1" ht="15.75" x14ac:dyDescent="0.25">
      <c r="A64" s="79" t="s">
        <v>89</v>
      </c>
      <c r="B64" s="48" t="s">
        <v>109</v>
      </c>
      <c r="C64" s="127" t="s">
        <v>107</v>
      </c>
      <c r="D64" s="127">
        <v>1</v>
      </c>
      <c r="E64" s="283">
        <f>VLOOKUP(VATLIEU[[#This Row],[Danh mục vật liệu]],Table1[[TÊN VẬT TƯ]:[ĐƠN GIÁ
 (Chưa VAT)]],3,0)</f>
        <v>4000</v>
      </c>
      <c r="F64" s="287">
        <f t="shared" si="6"/>
        <v>4000</v>
      </c>
      <c r="G64" s="259"/>
      <c r="H64" s="16"/>
    </row>
    <row r="65" spans="1:8" s="9" customFormat="1" ht="15.75" x14ac:dyDescent="0.25">
      <c r="A65" s="79" t="s">
        <v>89</v>
      </c>
      <c r="B65" s="48" t="s">
        <v>253</v>
      </c>
      <c r="C65" s="127" t="s">
        <v>107</v>
      </c>
      <c r="D65" s="127">
        <v>1.4E-3</v>
      </c>
      <c r="E65" s="283">
        <f>VLOOKUP(VATLIEU[[#This Row],[Danh mục vật liệu]],Table1[[TÊN VẬT TƯ]:[ĐƠN GIÁ
 (Chưa VAT)]],3,0)</f>
        <v>22000</v>
      </c>
      <c r="F65" s="287">
        <f t="shared" si="6"/>
        <v>30.8</v>
      </c>
      <c r="G65" s="259"/>
      <c r="H65" s="16"/>
    </row>
    <row r="66" spans="1:8" s="9" customFormat="1" ht="31.5" x14ac:dyDescent="0.25">
      <c r="A66" s="77" t="s">
        <v>130</v>
      </c>
      <c r="B66" s="251" t="s">
        <v>34</v>
      </c>
      <c r="C66" s="47" t="s">
        <v>248</v>
      </c>
      <c r="D66" s="47"/>
      <c r="E66" s="252"/>
      <c r="F66" s="281">
        <f>SUM(F67:F70)</f>
        <v>2389.636</v>
      </c>
      <c r="G66" s="259" t="s">
        <v>262</v>
      </c>
      <c r="H66" s="16"/>
    </row>
    <row r="67" spans="1:8" ht="15.75" x14ac:dyDescent="0.25">
      <c r="A67" s="79" t="s">
        <v>89</v>
      </c>
      <c r="B67" s="48" t="s">
        <v>99</v>
      </c>
      <c r="C67" s="127" t="s">
        <v>100</v>
      </c>
      <c r="D67" s="127">
        <v>2E-3</v>
      </c>
      <c r="E67" s="283">
        <f>VLOOKUP(VATLIEU[[#This Row],[Danh mục vật liệu]],Table1[[TÊN VẬT TƯ]:[ĐƠN GIÁ
 (Chưa VAT)]],3,0)</f>
        <v>81818</v>
      </c>
      <c r="F67" s="287">
        <f t="shared" ref="F67:F70" si="7">E67*D67</f>
        <v>163.636</v>
      </c>
      <c r="G67" s="259"/>
      <c r="H67" s="29"/>
    </row>
    <row r="68" spans="1:8" s="9" customFormat="1" ht="15.75" x14ac:dyDescent="0.25">
      <c r="A68" s="79" t="s">
        <v>89</v>
      </c>
      <c r="B68" s="48" t="s">
        <v>243</v>
      </c>
      <c r="C68" s="127" t="s">
        <v>104</v>
      </c>
      <c r="D68" s="127">
        <v>1.4E-3</v>
      </c>
      <c r="E68" s="283">
        <f>VLOOKUP(VATLIEU[[#This Row],[Danh mục vật liệu]],Table1[[TÊN VẬT TƯ]:[ĐƠN GIÁ
 (Chưa VAT)]],3,0)</f>
        <v>1560000</v>
      </c>
      <c r="F68" s="287">
        <f t="shared" si="7"/>
        <v>2184</v>
      </c>
      <c r="G68" s="259"/>
      <c r="H68" s="16"/>
    </row>
    <row r="69" spans="1:8" s="9" customFormat="1" ht="15.75" x14ac:dyDescent="0.25">
      <c r="A69" s="79" t="s">
        <v>89</v>
      </c>
      <c r="B69" s="48" t="s">
        <v>109</v>
      </c>
      <c r="C69" s="127" t="s">
        <v>107</v>
      </c>
      <c r="D69" s="127">
        <v>5.0000000000000001E-3</v>
      </c>
      <c r="E69" s="283">
        <f>VLOOKUP(VATLIEU[[#This Row],[Danh mục vật liệu]],Table1[[TÊN VẬT TƯ]:[ĐƠN GIÁ
 (Chưa VAT)]],3,0)</f>
        <v>4000</v>
      </c>
      <c r="F69" s="287">
        <f t="shared" si="7"/>
        <v>20</v>
      </c>
      <c r="G69" s="259"/>
      <c r="H69" s="16"/>
    </row>
    <row r="70" spans="1:8" ht="15.75" x14ac:dyDescent="0.25">
      <c r="A70" s="79" t="s">
        <v>89</v>
      </c>
      <c r="B70" s="48" t="s">
        <v>253</v>
      </c>
      <c r="C70" s="127" t="s">
        <v>107</v>
      </c>
      <c r="D70" s="127">
        <v>1E-3</v>
      </c>
      <c r="E70" s="283">
        <f>VLOOKUP(VATLIEU[[#This Row],[Danh mục vật liệu]],Table1[[TÊN VẬT TƯ]:[ĐƠN GIÁ
 (Chưa VAT)]],3,0)</f>
        <v>22000</v>
      </c>
      <c r="F70" s="287">
        <f t="shared" si="7"/>
        <v>22</v>
      </c>
      <c r="G70" s="259"/>
      <c r="H70" s="29"/>
    </row>
    <row r="71" spans="1:8" s="9" customFormat="1" ht="31.5" x14ac:dyDescent="0.25">
      <c r="A71" s="77" t="s">
        <v>131</v>
      </c>
      <c r="B71" s="251" t="s">
        <v>35</v>
      </c>
      <c r="C71" s="47" t="s">
        <v>248</v>
      </c>
      <c r="D71" s="47"/>
      <c r="E71" s="252"/>
      <c r="F71" s="281">
        <f>SUM(F72:F74)</f>
        <v>335.67199999999997</v>
      </c>
      <c r="G71" s="259" t="s">
        <v>262</v>
      </c>
      <c r="H71" s="16"/>
    </row>
    <row r="72" spans="1:8" s="9" customFormat="1" ht="15.75" x14ac:dyDescent="0.25">
      <c r="A72" s="79" t="s">
        <v>89</v>
      </c>
      <c r="B72" s="48" t="s">
        <v>99</v>
      </c>
      <c r="C72" s="127" t="s">
        <v>100</v>
      </c>
      <c r="D72" s="127">
        <v>4.0000000000000001E-3</v>
      </c>
      <c r="E72" s="283">
        <f>VLOOKUP(VATLIEU[[#This Row],[Danh mục vật liệu]],Table1[[TÊN VẬT TƯ]:[ĐƠN GIÁ
 (Chưa VAT)]],3,0)</f>
        <v>81818</v>
      </c>
      <c r="F72" s="287">
        <f t="shared" ref="F72:F74" si="8">E72*D72</f>
        <v>327.27199999999999</v>
      </c>
      <c r="G72" s="259"/>
      <c r="H72" s="16"/>
    </row>
    <row r="73" spans="1:8" s="9" customFormat="1" ht="15.75" x14ac:dyDescent="0.25">
      <c r="A73" s="79" t="s">
        <v>89</v>
      </c>
      <c r="B73" s="48" t="s">
        <v>109</v>
      </c>
      <c r="C73" s="127" t="s">
        <v>107</v>
      </c>
      <c r="D73" s="127">
        <v>1E-3</v>
      </c>
      <c r="E73" s="283">
        <f>VLOOKUP(VATLIEU[[#This Row],[Danh mục vật liệu]],Table1[[TÊN VẬT TƯ]:[ĐƠN GIÁ
 (Chưa VAT)]],3,0)</f>
        <v>4000</v>
      </c>
      <c r="F73" s="287">
        <f t="shared" si="8"/>
        <v>4</v>
      </c>
      <c r="G73" s="259"/>
      <c r="H73" s="16"/>
    </row>
    <row r="74" spans="1:8" s="9" customFormat="1" ht="15.75" x14ac:dyDescent="0.25">
      <c r="A74" s="79" t="s">
        <v>89</v>
      </c>
      <c r="B74" s="48" t="s">
        <v>253</v>
      </c>
      <c r="C74" s="127" t="s">
        <v>107</v>
      </c>
      <c r="D74" s="127">
        <v>2.0000000000000001E-4</v>
      </c>
      <c r="E74" s="283">
        <f>VLOOKUP(VATLIEU[[#This Row],[Danh mục vật liệu]],Table1[[TÊN VẬT TƯ]:[ĐƠN GIÁ
 (Chưa VAT)]],3,0)</f>
        <v>22000</v>
      </c>
      <c r="F74" s="287">
        <f t="shared" si="8"/>
        <v>4.4000000000000004</v>
      </c>
      <c r="G74" s="259"/>
      <c r="H74" s="16"/>
    </row>
    <row r="75" spans="1:8" s="9" customFormat="1" ht="15.75" x14ac:dyDescent="0.25">
      <c r="A75" s="77" t="s">
        <v>132</v>
      </c>
      <c r="B75" s="251" t="s">
        <v>36</v>
      </c>
      <c r="C75" s="47" t="s">
        <v>248</v>
      </c>
      <c r="D75" s="47"/>
      <c r="E75" s="252"/>
      <c r="F75" s="281">
        <f>SUM(F76:F79)</f>
        <v>228533.46000000002</v>
      </c>
      <c r="G75" s="259" t="s">
        <v>262</v>
      </c>
      <c r="H75" s="16"/>
    </row>
    <row r="76" spans="1:8" s="9" customFormat="1" ht="15.75" x14ac:dyDescent="0.25">
      <c r="A76" s="79" t="s">
        <v>89</v>
      </c>
      <c r="B76" s="48" t="s">
        <v>99</v>
      </c>
      <c r="C76" s="127" t="s">
        <v>100</v>
      </c>
      <c r="D76" s="127">
        <v>0.56999999999999995</v>
      </c>
      <c r="E76" s="283">
        <f>VLOOKUP(VATLIEU[[#This Row],[Danh mục vật liệu]],Table1[[TÊN VẬT TƯ]:[ĐƠN GIÁ
 (Chưa VAT)]],3,0)</f>
        <v>81818</v>
      </c>
      <c r="F76" s="287">
        <f t="shared" ref="F76:F79" si="9">E76*D76</f>
        <v>46636.259999999995</v>
      </c>
      <c r="G76" s="259"/>
      <c r="H76" s="16"/>
    </row>
    <row r="77" spans="1:8" ht="15.75" x14ac:dyDescent="0.25">
      <c r="A77" s="79" t="s">
        <v>89</v>
      </c>
      <c r="B77" s="48" t="s">
        <v>243</v>
      </c>
      <c r="C77" s="127" t="s">
        <v>104</v>
      </c>
      <c r="D77" s="127">
        <v>0.114</v>
      </c>
      <c r="E77" s="283">
        <f>VLOOKUP(VATLIEU[[#This Row],[Danh mục vật liệu]],Table1[[TÊN VẬT TƯ]:[ĐƠN GIÁ
 (Chưa VAT)]],3,0)</f>
        <v>1560000</v>
      </c>
      <c r="F77" s="287">
        <f t="shared" si="9"/>
        <v>177840</v>
      </c>
      <c r="G77" s="259"/>
      <c r="H77" s="29"/>
    </row>
    <row r="78" spans="1:8" s="9" customFormat="1" ht="15.75" x14ac:dyDescent="0.25">
      <c r="A78" s="79" t="s">
        <v>89</v>
      </c>
      <c r="B78" s="48" t="s">
        <v>109</v>
      </c>
      <c r="C78" s="127" t="s">
        <v>107</v>
      </c>
      <c r="D78" s="127">
        <v>1</v>
      </c>
      <c r="E78" s="283">
        <f>VLOOKUP(VATLIEU[[#This Row],[Danh mục vật liệu]],Table1[[TÊN VẬT TƯ]:[ĐƠN GIÁ
 (Chưa VAT)]],3,0)</f>
        <v>4000</v>
      </c>
      <c r="F78" s="287">
        <f t="shared" si="9"/>
        <v>4000</v>
      </c>
      <c r="G78" s="259"/>
      <c r="H78" s="16"/>
    </row>
    <row r="79" spans="1:8" s="9" customFormat="1" ht="15.75" x14ac:dyDescent="0.25">
      <c r="A79" s="79" t="s">
        <v>89</v>
      </c>
      <c r="B79" s="48" t="s">
        <v>253</v>
      </c>
      <c r="C79" s="127" t="s">
        <v>107</v>
      </c>
      <c r="D79" s="127">
        <v>2.5999999999999999E-3</v>
      </c>
      <c r="E79" s="283">
        <f>VLOOKUP(VATLIEU[[#This Row],[Danh mục vật liệu]],Table1[[TÊN VẬT TƯ]:[ĐƠN GIÁ
 (Chưa VAT)]],3,0)</f>
        <v>22000</v>
      </c>
      <c r="F79" s="287">
        <f t="shared" si="9"/>
        <v>57.199999999999996</v>
      </c>
      <c r="G79" s="259"/>
      <c r="H79" s="16"/>
    </row>
    <row r="80" spans="1:8" s="9" customFormat="1" ht="15.75" x14ac:dyDescent="0.25">
      <c r="A80" s="77" t="s">
        <v>133</v>
      </c>
      <c r="B80" s="251" t="s">
        <v>37</v>
      </c>
      <c r="C80" s="47" t="s">
        <v>248</v>
      </c>
      <c r="D80" s="47"/>
      <c r="E80" s="252"/>
      <c r="F80" s="281">
        <f>SUM(F81:F82)</f>
        <v>21</v>
      </c>
      <c r="G80" s="259" t="s">
        <v>262</v>
      </c>
      <c r="H80" s="16"/>
    </row>
    <row r="81" spans="1:8" ht="15.75" x14ac:dyDescent="0.25">
      <c r="A81" s="79" t="s">
        <v>89</v>
      </c>
      <c r="B81" s="48" t="s">
        <v>109</v>
      </c>
      <c r="C81" s="127" t="s">
        <v>107</v>
      </c>
      <c r="D81" s="127">
        <v>2.5000000000000001E-3</v>
      </c>
      <c r="E81" s="283">
        <f>VLOOKUP(VATLIEU[[#This Row],[Danh mục vật liệu]],Table1[[TÊN VẬT TƯ]:[ĐƠN GIÁ
 (Chưa VAT)]],3,0)</f>
        <v>4000</v>
      </c>
      <c r="F81" s="287">
        <f t="shared" ref="F81:F82" si="10">E81*D81</f>
        <v>10</v>
      </c>
      <c r="G81" s="259"/>
      <c r="H81" s="29"/>
    </row>
    <row r="82" spans="1:8" ht="15.75" x14ac:dyDescent="0.25">
      <c r="A82" s="79" t="s">
        <v>89</v>
      </c>
      <c r="B82" s="48" t="s">
        <v>253</v>
      </c>
      <c r="C82" s="127" t="s">
        <v>107</v>
      </c>
      <c r="D82" s="127">
        <v>5.0000000000000001E-4</v>
      </c>
      <c r="E82" s="283">
        <f>VLOOKUP(VATLIEU[[#This Row],[Danh mục vật liệu]],Table1[[TÊN VẬT TƯ]:[ĐƠN GIÁ
 (Chưa VAT)]],3,0)</f>
        <v>22000</v>
      </c>
      <c r="F82" s="287">
        <f t="shared" si="10"/>
        <v>11</v>
      </c>
      <c r="G82" s="259"/>
      <c r="H82" s="29"/>
    </row>
    <row r="83" spans="1:8" s="9" customFormat="1" ht="47.25" x14ac:dyDescent="0.25">
      <c r="A83" s="77" t="s">
        <v>134</v>
      </c>
      <c r="B83" s="251" t="s">
        <v>38</v>
      </c>
      <c r="C83" s="47" t="s">
        <v>248</v>
      </c>
      <c r="D83" s="47"/>
      <c r="E83" s="252"/>
      <c r="F83" s="281">
        <f>SUM(F84:F89)</f>
        <v>566423.63599999994</v>
      </c>
      <c r="G83" s="259" t="s">
        <v>262</v>
      </c>
      <c r="H83" s="16"/>
    </row>
    <row r="84" spans="1:8" s="9" customFormat="1" ht="15.75" x14ac:dyDescent="0.25">
      <c r="A84" s="79" t="s">
        <v>89</v>
      </c>
      <c r="B84" s="48" t="s">
        <v>99</v>
      </c>
      <c r="C84" s="127" t="s">
        <v>100</v>
      </c>
      <c r="D84" s="127">
        <v>2E-3</v>
      </c>
      <c r="E84" s="283">
        <f>VLOOKUP(VATLIEU[[#This Row],[Danh mục vật liệu]],Table1[[TÊN VẬT TƯ]:[ĐƠN GIÁ
 (Chưa VAT)]],3,0)</f>
        <v>81818</v>
      </c>
      <c r="F84" s="287">
        <f t="shared" ref="F84:F85" si="11">E84*D84</f>
        <v>163.636</v>
      </c>
      <c r="G84" s="259"/>
      <c r="H84" s="16"/>
    </row>
    <row r="85" spans="1:8" s="9" customFormat="1" ht="15.75" x14ac:dyDescent="0.25">
      <c r="A85" s="79" t="s">
        <v>89</v>
      </c>
      <c r="B85" s="170" t="s">
        <v>255</v>
      </c>
      <c r="C85" s="127" t="s">
        <v>256</v>
      </c>
      <c r="D85" s="127">
        <v>200</v>
      </c>
      <c r="E85" s="332">
        <f>VLOOKUP(VATLIEU[[#This Row],[Danh mục vật liệu]],Table1[[TÊN VẬT TƯ]:[ĐƠN GIÁ
 (Chưa VAT)]],3,0)</f>
        <v>2500</v>
      </c>
      <c r="F85" s="287">
        <f t="shared" si="11"/>
        <v>500000</v>
      </c>
      <c r="G85" s="259"/>
      <c r="H85" s="16"/>
    </row>
    <row r="86" spans="1:8" ht="15.75" x14ac:dyDescent="0.25">
      <c r="A86" s="79" t="s">
        <v>89</v>
      </c>
      <c r="B86" s="48" t="s">
        <v>243</v>
      </c>
      <c r="C86" s="127" t="s">
        <v>104</v>
      </c>
      <c r="D86" s="127">
        <v>0.04</v>
      </c>
      <c r="E86" s="283">
        <f>VLOOKUP(VATLIEU[[#This Row],[Danh mục vật liệu]],Table1[[TÊN VẬT TƯ]:[ĐƠN GIÁ
 (Chưa VAT)]],3,0)</f>
        <v>1560000</v>
      </c>
      <c r="F86" s="287">
        <f t="shared" ref="F86:F89" si="12">E86*D86</f>
        <v>62400</v>
      </c>
      <c r="G86" s="259"/>
    </row>
    <row r="87" spans="1:8" ht="15.75" x14ac:dyDescent="0.25">
      <c r="A87" s="79" t="s">
        <v>89</v>
      </c>
      <c r="B87" s="48" t="s">
        <v>106</v>
      </c>
      <c r="C87" s="127" t="s">
        <v>107</v>
      </c>
      <c r="D87" s="127">
        <v>9.1999999999999998E-3</v>
      </c>
      <c r="E87" s="283">
        <f>VLOOKUP(VATLIEU[[#This Row],[Danh mục vật liệu]],Table1[[TÊN VẬT TƯ]:[ĐƠN GIÁ
 (Chưa VAT)]],3,0)</f>
        <v>25000</v>
      </c>
      <c r="F87" s="287">
        <f t="shared" si="12"/>
        <v>230</v>
      </c>
      <c r="G87" s="259"/>
    </row>
    <row r="88" spans="1:8" ht="15.75" x14ac:dyDescent="0.25">
      <c r="A88" s="79" t="s">
        <v>89</v>
      </c>
      <c r="B88" s="48" t="s">
        <v>257</v>
      </c>
      <c r="C88" s="127" t="s">
        <v>107</v>
      </c>
      <c r="D88" s="127">
        <v>1</v>
      </c>
      <c r="E88" s="283">
        <f>VLOOKUP(VATLIEU[[#This Row],[Danh mục vật liệu]],Table1[[TÊN VẬT TƯ]:[ĐƠN GIÁ
 (Chưa VAT)]],3,0)</f>
        <v>3600</v>
      </c>
      <c r="F88" s="287">
        <f t="shared" si="12"/>
        <v>3600</v>
      </c>
      <c r="G88" s="259"/>
    </row>
    <row r="89" spans="1:8" ht="15.75" x14ac:dyDescent="0.25">
      <c r="A89" s="79" t="s">
        <v>89</v>
      </c>
      <c r="B89" s="48" t="s">
        <v>258</v>
      </c>
      <c r="C89" s="127" t="s">
        <v>107</v>
      </c>
      <c r="D89" s="127">
        <v>0.01</v>
      </c>
      <c r="E89" s="283">
        <f>VLOOKUP(VATLIEU[[#This Row],[Danh mục vật liệu]],Table1[[TÊN VẬT TƯ]:[ĐƠN GIÁ
 (Chưa VAT)]],3,0)</f>
        <v>3000</v>
      </c>
      <c r="F89" s="287">
        <f t="shared" si="12"/>
        <v>30</v>
      </c>
      <c r="G89" s="259"/>
    </row>
    <row r="90" spans="1:8" ht="15.75" x14ac:dyDescent="0.25">
      <c r="A90" s="77" t="s">
        <v>135</v>
      </c>
      <c r="B90" s="251" t="s">
        <v>39</v>
      </c>
      <c r="C90" s="47" t="s">
        <v>248</v>
      </c>
      <c r="D90" s="47"/>
      <c r="E90" s="252"/>
      <c r="F90" s="281">
        <f>SUM(F91:F93)</f>
        <v>502480</v>
      </c>
      <c r="G90" s="259" t="s">
        <v>262</v>
      </c>
    </row>
    <row r="91" spans="1:8" ht="15.75" x14ac:dyDescent="0.25">
      <c r="A91" s="79" t="s">
        <v>89</v>
      </c>
      <c r="B91" s="48" t="s">
        <v>259</v>
      </c>
      <c r="C91" s="127" t="s">
        <v>107</v>
      </c>
      <c r="D91" s="127">
        <v>10</v>
      </c>
      <c r="E91" s="283">
        <f>VLOOKUP(VATLIEU[[#This Row],[Danh mục vật liệu]],Table1[[TÊN VẬT TƯ]:[ĐƠN GIÁ
 (Chưa VAT)]],3,0)</f>
        <v>50000</v>
      </c>
      <c r="F91" s="287">
        <f t="shared" ref="F91:F93" si="13">E91*D91</f>
        <v>500000</v>
      </c>
      <c r="G91" s="259"/>
    </row>
    <row r="92" spans="1:8" ht="15.75" x14ac:dyDescent="0.25">
      <c r="A92" s="79" t="s">
        <v>89</v>
      </c>
      <c r="B92" s="48" t="s">
        <v>106</v>
      </c>
      <c r="C92" s="127" t="s">
        <v>107</v>
      </c>
      <c r="D92" s="127">
        <v>9.1999999999999998E-3</v>
      </c>
      <c r="E92" s="283">
        <f>VLOOKUP(VATLIEU[[#This Row],[Danh mục vật liệu]],Table1[[TÊN VẬT TƯ]:[ĐƠN GIÁ
 (Chưa VAT)]],3,0)</f>
        <v>25000</v>
      </c>
      <c r="F92" s="287">
        <f t="shared" si="13"/>
        <v>230</v>
      </c>
      <c r="G92" s="259"/>
    </row>
    <row r="93" spans="1:8" ht="15.75" x14ac:dyDescent="0.25">
      <c r="A93" s="79" t="s">
        <v>89</v>
      </c>
      <c r="B93" s="48" t="s">
        <v>260</v>
      </c>
      <c r="C93" s="127" t="s">
        <v>261</v>
      </c>
      <c r="D93" s="127">
        <v>0.5</v>
      </c>
      <c r="E93" s="283">
        <f>VLOOKUP(VATLIEU[[#This Row],[Danh mục vật liệu]],Table1[[TÊN VẬT TƯ]:[ĐƠN GIÁ
 (Chưa VAT)]],3,0)</f>
        <v>4500</v>
      </c>
      <c r="F93" s="287">
        <f t="shared" si="13"/>
        <v>2250</v>
      </c>
      <c r="G93" s="259"/>
    </row>
    <row r="94" spans="1:8" ht="31.5" x14ac:dyDescent="0.25">
      <c r="A94" s="77" t="s">
        <v>136</v>
      </c>
      <c r="B94" s="251" t="s">
        <v>40</v>
      </c>
      <c r="C94" s="47"/>
      <c r="D94" s="47"/>
      <c r="E94" s="252"/>
      <c r="F94" s="287">
        <v>0</v>
      </c>
      <c r="G94" s="189" t="s">
        <v>628</v>
      </c>
    </row>
    <row r="95" spans="1:8" ht="31.5" x14ac:dyDescent="0.25">
      <c r="A95" s="77" t="s">
        <v>137</v>
      </c>
      <c r="B95" s="251" t="s">
        <v>41</v>
      </c>
      <c r="C95" s="47" t="s">
        <v>248</v>
      </c>
      <c r="D95" s="47"/>
      <c r="E95" s="252"/>
      <c r="F95" s="281">
        <f>SUM(F96:F98)</f>
        <v>7048.9080000000004</v>
      </c>
      <c r="G95" s="259" t="s">
        <v>262</v>
      </c>
    </row>
    <row r="96" spans="1:8" ht="15.75" x14ac:dyDescent="0.25">
      <c r="A96" s="79" t="s">
        <v>89</v>
      </c>
      <c r="B96" s="48" t="s">
        <v>99</v>
      </c>
      <c r="C96" s="127" t="s">
        <v>100</v>
      </c>
      <c r="D96" s="127">
        <v>6.0000000000000001E-3</v>
      </c>
      <c r="E96" s="283">
        <f>VLOOKUP(VATLIEU[[#This Row],[Danh mục vật liệu]],Table1[[TÊN VẬT TƯ]:[ĐƠN GIÁ
 (Chưa VAT)]],3,0)</f>
        <v>81818</v>
      </c>
      <c r="F96" s="287">
        <f t="shared" ref="F96:F98" si="14">E96*D96</f>
        <v>490.90800000000002</v>
      </c>
      <c r="G96" s="259"/>
    </row>
    <row r="97" spans="1:7" ht="15.75" x14ac:dyDescent="0.25">
      <c r="A97" s="79" t="s">
        <v>89</v>
      </c>
      <c r="B97" s="48" t="s">
        <v>243</v>
      </c>
      <c r="C97" s="127" t="s">
        <v>104</v>
      </c>
      <c r="D97" s="127">
        <v>4.1999999999999997E-3</v>
      </c>
      <c r="E97" s="283">
        <f>VLOOKUP(VATLIEU[[#This Row],[Danh mục vật liệu]],Table1[[TÊN VẬT TƯ]:[ĐƠN GIÁ
 (Chưa VAT)]],3,0)</f>
        <v>1560000</v>
      </c>
      <c r="F97" s="287">
        <f t="shared" si="14"/>
        <v>6552</v>
      </c>
      <c r="G97" s="259"/>
    </row>
    <row r="98" spans="1:7" ht="15.75" x14ac:dyDescent="0.25">
      <c r="A98" s="79" t="s">
        <v>89</v>
      </c>
      <c r="B98" s="48" t="s">
        <v>109</v>
      </c>
      <c r="C98" s="127" t="s">
        <v>107</v>
      </c>
      <c r="D98" s="127">
        <v>1.5E-3</v>
      </c>
      <c r="E98" s="283">
        <f>VLOOKUP(VATLIEU[[#This Row],[Danh mục vật liệu]],Table1[[TÊN VẬT TƯ]:[ĐƠN GIÁ
 (Chưa VAT)]],3,0)</f>
        <v>4000</v>
      </c>
      <c r="F98" s="287">
        <f t="shared" si="14"/>
        <v>6</v>
      </c>
      <c r="G98" s="259"/>
    </row>
    <row r="99" spans="1:7" ht="15.75" x14ac:dyDescent="0.25">
      <c r="A99" s="204"/>
      <c r="B99" s="278" t="s">
        <v>499</v>
      </c>
      <c r="C99" s="223"/>
      <c r="D99" s="223"/>
      <c r="E99" s="332"/>
      <c r="F99" s="279">
        <f>SUM(F100:F112)</f>
        <v>1621282.16228</v>
      </c>
      <c r="G99" s="235" t="s">
        <v>503</v>
      </c>
    </row>
    <row r="100" spans="1:7" ht="31.5" x14ac:dyDescent="0.25">
      <c r="A100" s="47" t="s">
        <v>125</v>
      </c>
      <c r="B100" s="251" t="s">
        <v>29</v>
      </c>
      <c r="C100" s="47" t="s">
        <v>248</v>
      </c>
      <c r="D100" s="127"/>
      <c r="E100" s="283"/>
      <c r="F100" s="281">
        <f>VLOOKUP(VATLIEU[[#This Row],[Danh mục vật liệu]],$B$47:$F$98,5,0)*1.1</f>
        <v>516.47991999999999</v>
      </c>
      <c r="G100" s="259"/>
    </row>
    <row r="101" spans="1:7" ht="31.5" x14ac:dyDescent="0.25">
      <c r="A101" s="47" t="s">
        <v>126</v>
      </c>
      <c r="B101" s="251" t="s">
        <v>30</v>
      </c>
      <c r="C101" s="47"/>
      <c r="D101" s="127"/>
      <c r="E101" s="283"/>
      <c r="F101" s="281">
        <f>VLOOKUP(VATLIEU[[#This Row],[Danh mục vật liệu]],$B$47:$F$98,5,0)*1.1</f>
        <v>0</v>
      </c>
      <c r="G101" s="189" t="s">
        <v>628</v>
      </c>
    </row>
    <row r="102" spans="1:7" ht="15.75" x14ac:dyDescent="0.25">
      <c r="A102" s="47" t="s">
        <v>127</v>
      </c>
      <c r="B102" s="251" t="s">
        <v>31</v>
      </c>
      <c r="C102" s="47" t="s">
        <v>248</v>
      </c>
      <c r="D102" s="127"/>
      <c r="E102" s="283"/>
      <c r="F102" s="281">
        <f>VLOOKUP(VATLIEU[[#This Row],[Danh mục vật liệu]],$B$47:$F$98,5,0)*1.1</f>
        <v>67.859880000000004</v>
      </c>
      <c r="G102" s="259"/>
    </row>
    <row r="103" spans="1:7" ht="15.75" x14ac:dyDescent="0.25">
      <c r="A103" s="47" t="s">
        <v>128</v>
      </c>
      <c r="B103" s="251" t="s">
        <v>32</v>
      </c>
      <c r="C103" s="47" t="s">
        <v>248</v>
      </c>
      <c r="D103" s="127"/>
      <c r="E103" s="283"/>
      <c r="F103" s="281">
        <f>VLOOKUP(VATLIEU[[#This Row],[Danh mục vật liệu]],$B$47:$F$98,5,0)*1.1</f>
        <v>5028.4792800000014</v>
      </c>
      <c r="G103" s="259"/>
    </row>
    <row r="104" spans="1:7" ht="15.75" x14ac:dyDescent="0.25">
      <c r="A104" s="47" t="s">
        <v>129</v>
      </c>
      <c r="B104" s="251" t="s">
        <v>33</v>
      </c>
      <c r="C104" s="47" t="s">
        <v>248</v>
      </c>
      <c r="D104" s="127"/>
      <c r="E104" s="283"/>
      <c r="F104" s="281">
        <f>VLOOKUP(VATLIEU[[#This Row],[Danh mục vật liệu]],$B$47:$F$98,5,0)*1.1</f>
        <v>177713.80000000002</v>
      </c>
      <c r="G104" s="259"/>
    </row>
    <row r="105" spans="1:7" ht="31.5" x14ac:dyDescent="0.25">
      <c r="A105" s="47" t="s">
        <v>130</v>
      </c>
      <c r="B105" s="251" t="s">
        <v>34</v>
      </c>
      <c r="C105" s="47" t="s">
        <v>248</v>
      </c>
      <c r="D105" s="127"/>
      <c r="E105" s="283"/>
      <c r="F105" s="281">
        <f>VLOOKUP(VATLIEU[[#This Row],[Danh mục vật liệu]],$B$47:$F$98,5,0)*1.1</f>
        <v>2628.5996</v>
      </c>
      <c r="G105" s="259"/>
    </row>
    <row r="106" spans="1:7" ht="31.5" x14ac:dyDescent="0.25">
      <c r="A106" s="47" t="s">
        <v>131</v>
      </c>
      <c r="B106" s="251" t="s">
        <v>35</v>
      </c>
      <c r="C106" s="47" t="s">
        <v>248</v>
      </c>
      <c r="D106" s="127"/>
      <c r="E106" s="283"/>
      <c r="F106" s="281">
        <f>VLOOKUP(VATLIEU[[#This Row],[Danh mục vật liệu]],$B$47:$F$98,5,0)*1.1</f>
        <v>369.23919999999998</v>
      </c>
      <c r="G106" s="259"/>
    </row>
    <row r="107" spans="1:7" ht="15.75" x14ac:dyDescent="0.25">
      <c r="A107" s="47" t="s">
        <v>132</v>
      </c>
      <c r="B107" s="251" t="s">
        <v>36</v>
      </c>
      <c r="C107" s="47" t="s">
        <v>248</v>
      </c>
      <c r="D107" s="127"/>
      <c r="E107" s="283"/>
      <c r="F107" s="281">
        <f>VLOOKUP(VATLIEU[[#This Row],[Danh mục vật liệu]],$B$47:$F$98,5,0)*1.1</f>
        <v>251386.80600000004</v>
      </c>
      <c r="G107" s="259"/>
    </row>
    <row r="108" spans="1:7" ht="15.75" x14ac:dyDescent="0.25">
      <c r="A108" s="47" t="s">
        <v>133</v>
      </c>
      <c r="B108" s="251" t="s">
        <v>37</v>
      </c>
      <c r="C108" s="47" t="s">
        <v>248</v>
      </c>
      <c r="D108" s="127"/>
      <c r="E108" s="283"/>
      <c r="F108" s="281">
        <f>VLOOKUP(VATLIEU[[#This Row],[Danh mục vật liệu]],$B$47:$F$98,5,0)*1.1</f>
        <v>23.1</v>
      </c>
      <c r="G108" s="259"/>
    </row>
    <row r="109" spans="1:7" ht="47.25" x14ac:dyDescent="0.25">
      <c r="A109" s="47" t="s">
        <v>134</v>
      </c>
      <c r="B109" s="251" t="s">
        <v>38</v>
      </c>
      <c r="C109" s="47" t="s">
        <v>248</v>
      </c>
      <c r="D109" s="127"/>
      <c r="E109" s="283"/>
      <c r="F109" s="281">
        <f>VLOOKUP(VATLIEU[[#This Row],[Danh mục vật liệu]],$B$47:$F$98,5,0)*1.1</f>
        <v>623065.99959999998</v>
      </c>
      <c r="G109" s="259"/>
    </row>
    <row r="110" spans="1:7" ht="15.75" x14ac:dyDescent="0.25">
      <c r="A110" s="47" t="s">
        <v>135</v>
      </c>
      <c r="B110" s="251" t="s">
        <v>39</v>
      </c>
      <c r="C110" s="47" t="s">
        <v>248</v>
      </c>
      <c r="D110" s="127"/>
      <c r="E110" s="283"/>
      <c r="F110" s="281">
        <f>VLOOKUP(VATLIEU[[#This Row],[Danh mục vật liệu]],$B$47:$F$98,5,0)*1.1</f>
        <v>552728</v>
      </c>
      <c r="G110" s="259"/>
    </row>
    <row r="111" spans="1:7" ht="31.5" x14ac:dyDescent="0.25">
      <c r="A111" s="47" t="s">
        <v>136</v>
      </c>
      <c r="B111" s="251" t="s">
        <v>40</v>
      </c>
      <c r="C111" s="47"/>
      <c r="D111" s="127"/>
      <c r="E111" s="283"/>
      <c r="F111" s="281">
        <f>VLOOKUP(VATLIEU[[#This Row],[Danh mục vật liệu]],$B$47:$F$98,5,0)*1.1</f>
        <v>0</v>
      </c>
      <c r="G111" s="189" t="s">
        <v>628</v>
      </c>
    </row>
    <row r="112" spans="1:7" ht="31.5" x14ac:dyDescent="0.25">
      <c r="A112" s="47" t="s">
        <v>137</v>
      </c>
      <c r="B112" s="251" t="s">
        <v>41</v>
      </c>
      <c r="C112" s="47" t="s">
        <v>248</v>
      </c>
      <c r="D112" s="127"/>
      <c r="E112" s="283"/>
      <c r="F112" s="281">
        <f>VLOOKUP(VATLIEU[[#This Row],[Danh mục vật liệu]],$B$47:$F$98,5,0)*1.1</f>
        <v>7753.7988000000014</v>
      </c>
      <c r="G112" s="259"/>
    </row>
    <row r="113" spans="1:8" ht="38.25" x14ac:dyDescent="0.2">
      <c r="A113" s="204"/>
      <c r="B113" s="278" t="s">
        <v>561</v>
      </c>
      <c r="C113" s="223"/>
      <c r="D113" s="223"/>
      <c r="E113" s="332"/>
      <c r="F113" s="279">
        <f>F114+F117+F118+F122+F128+F133+F138+F142+F147+F150+F157+F161+F162</f>
        <v>1473892.8748000001</v>
      </c>
      <c r="G113" s="333" t="s">
        <v>562</v>
      </c>
    </row>
    <row r="114" spans="1:8" ht="31.5" x14ac:dyDescent="0.25">
      <c r="A114" s="77" t="s">
        <v>125</v>
      </c>
      <c r="B114" s="251" t="s">
        <v>29</v>
      </c>
      <c r="C114" s="47" t="s">
        <v>248</v>
      </c>
      <c r="D114" s="47"/>
      <c r="E114" s="252"/>
      <c r="F114" s="281">
        <f>SUM(F115:F116)</f>
        <v>469.52719999999994</v>
      </c>
      <c r="G114" s="259" t="s">
        <v>262</v>
      </c>
    </row>
    <row r="115" spans="1:8" ht="15.75" x14ac:dyDescent="0.25">
      <c r="A115" s="79" t="s">
        <v>89</v>
      </c>
      <c r="B115" s="48" t="s">
        <v>99</v>
      </c>
      <c r="C115" s="127" t="s">
        <v>100</v>
      </c>
      <c r="D115" s="127">
        <v>4.0000000000000002E-4</v>
      </c>
      <c r="E115" s="283">
        <f>VLOOKUP(VATLIEU[[#This Row],[Danh mục vật liệu]],Table1[[TÊN VẬT TƯ]:[ĐƠN GIÁ
 (Chưa VAT)]],3,0)</f>
        <v>81818</v>
      </c>
      <c r="F115" s="287">
        <f t="shared" ref="F115:F116" si="15">E115*D115</f>
        <v>32.727200000000003</v>
      </c>
      <c r="G115" s="259"/>
    </row>
    <row r="116" spans="1:8" ht="15.75" x14ac:dyDescent="0.25">
      <c r="A116" s="79" t="s">
        <v>89</v>
      </c>
      <c r="B116" s="48" t="s">
        <v>243</v>
      </c>
      <c r="C116" s="127" t="s">
        <v>104</v>
      </c>
      <c r="D116" s="127">
        <v>2.7999999999999998E-4</v>
      </c>
      <c r="E116" s="283">
        <f>VLOOKUP(VATLIEU[[#This Row],[Danh mục vật liệu]],Table1[[TÊN VẬT TƯ]:[ĐƠN GIÁ
 (Chưa VAT)]],3,0)</f>
        <v>1560000</v>
      </c>
      <c r="F116" s="287">
        <f t="shared" si="15"/>
        <v>436.79999999999995</v>
      </c>
      <c r="G116" s="259"/>
    </row>
    <row r="117" spans="1:8" ht="31.5" x14ac:dyDescent="0.25">
      <c r="A117" s="77" t="s">
        <v>126</v>
      </c>
      <c r="B117" s="251" t="s">
        <v>30</v>
      </c>
      <c r="C117" s="47"/>
      <c r="D117" s="47"/>
      <c r="E117" s="252"/>
      <c r="F117" s="281">
        <v>0</v>
      </c>
      <c r="G117" s="189" t="s">
        <v>628</v>
      </c>
    </row>
    <row r="118" spans="1:8" s="9" customFormat="1" ht="15.75" x14ac:dyDescent="0.25">
      <c r="A118" s="77" t="s">
        <v>127</v>
      </c>
      <c r="B118" s="251" t="s">
        <v>31</v>
      </c>
      <c r="C118" s="47" t="s">
        <v>248</v>
      </c>
      <c r="D118" s="47"/>
      <c r="E118" s="252"/>
      <c r="F118" s="281">
        <f>SUM(F119:F121)</f>
        <v>61.690799999999996</v>
      </c>
      <c r="G118" s="259" t="s">
        <v>262</v>
      </c>
      <c r="H118" s="16"/>
    </row>
    <row r="119" spans="1:8" ht="15.75" x14ac:dyDescent="0.25">
      <c r="A119" s="79" t="s">
        <v>89</v>
      </c>
      <c r="B119" s="48" t="s">
        <v>99</v>
      </c>
      <c r="C119" s="127" t="s">
        <v>100</v>
      </c>
      <c r="D119" s="127">
        <v>5.9999999999999995E-4</v>
      </c>
      <c r="E119" s="283">
        <f>VLOOKUP(VATLIEU[[#This Row],[Danh mục vật liệu]],Table1[[TÊN VẬT TƯ]:[ĐƠN GIÁ
 (Chưa VAT)]],3,0)</f>
        <v>81818</v>
      </c>
      <c r="F119" s="287">
        <f t="shared" ref="F119:F121" si="16">E119*D119</f>
        <v>49.090799999999994</v>
      </c>
      <c r="G119" s="259"/>
    </row>
    <row r="120" spans="1:8" ht="15.75" x14ac:dyDescent="0.25">
      <c r="A120" s="79" t="s">
        <v>89</v>
      </c>
      <c r="B120" s="48" t="s">
        <v>109</v>
      </c>
      <c r="C120" s="127" t="s">
        <v>107</v>
      </c>
      <c r="D120" s="127">
        <v>1.5E-3</v>
      </c>
      <c r="E120" s="283">
        <f>VLOOKUP(VATLIEU[[#This Row],[Danh mục vật liệu]],Table1[[TÊN VẬT TƯ]:[ĐƠN GIÁ
 (Chưa VAT)]],3,0)</f>
        <v>4000</v>
      </c>
      <c r="F120" s="287">
        <f t="shared" si="16"/>
        <v>6</v>
      </c>
      <c r="G120" s="259"/>
    </row>
    <row r="121" spans="1:8" ht="15.75" x14ac:dyDescent="0.25">
      <c r="A121" s="79" t="s">
        <v>89</v>
      </c>
      <c r="B121" s="48" t="s">
        <v>253</v>
      </c>
      <c r="C121" s="127" t="s">
        <v>107</v>
      </c>
      <c r="D121" s="127">
        <v>2.9999999999999997E-4</v>
      </c>
      <c r="E121" s="283">
        <f>VLOOKUP(VATLIEU[[#This Row],[Danh mục vật liệu]],Table1[[TÊN VẬT TƯ]:[ĐƠN GIÁ
 (Chưa VAT)]],3,0)</f>
        <v>22000</v>
      </c>
      <c r="F121" s="287">
        <f t="shared" si="16"/>
        <v>6.6</v>
      </c>
      <c r="G121" s="259"/>
    </row>
    <row r="122" spans="1:8" s="53" customFormat="1" ht="15.75" x14ac:dyDescent="0.25">
      <c r="A122" s="77" t="s">
        <v>128</v>
      </c>
      <c r="B122" s="251" t="s">
        <v>32</v>
      </c>
      <c r="C122" s="47" t="s">
        <v>248</v>
      </c>
      <c r="D122" s="47"/>
      <c r="E122" s="252"/>
      <c r="F122" s="281">
        <f>SUM(F123:F127)</f>
        <v>4571.3448000000008</v>
      </c>
      <c r="G122" s="259" t="s">
        <v>262</v>
      </c>
    </row>
    <row r="123" spans="1:8" ht="15.75" x14ac:dyDescent="0.25">
      <c r="A123" s="79" t="s">
        <v>89</v>
      </c>
      <c r="B123" s="48" t="s">
        <v>99</v>
      </c>
      <c r="C123" s="127" t="s">
        <v>100</v>
      </c>
      <c r="D123" s="127">
        <v>3.5999999999999999E-3</v>
      </c>
      <c r="E123" s="283">
        <f>VLOOKUP(VATLIEU[[#This Row],[Danh mục vật liệu]],Table1[[TÊN VẬT TƯ]:[ĐƠN GIÁ
 (Chưa VAT)]],3,0)</f>
        <v>81818</v>
      </c>
      <c r="F123" s="287">
        <f t="shared" ref="F123:F127" si="17">E123*D123</f>
        <v>294.54480000000001</v>
      </c>
      <c r="G123" s="259"/>
    </row>
    <row r="124" spans="1:8" ht="15.75" x14ac:dyDescent="0.25">
      <c r="A124" s="79" t="s">
        <v>89</v>
      </c>
      <c r="B124" s="48" t="s">
        <v>243</v>
      </c>
      <c r="C124" s="127" t="s">
        <v>104</v>
      </c>
      <c r="D124" s="127">
        <v>2.5200000000000001E-3</v>
      </c>
      <c r="E124" s="283">
        <f>VLOOKUP(VATLIEU[[#This Row],[Danh mục vật liệu]],Table1[[TÊN VẬT TƯ]:[ĐƠN GIÁ
 (Chưa VAT)]],3,0)</f>
        <v>1560000</v>
      </c>
      <c r="F124" s="287">
        <f t="shared" si="17"/>
        <v>3931.2000000000003</v>
      </c>
      <c r="G124" s="259"/>
    </row>
    <row r="125" spans="1:8" ht="15.75" x14ac:dyDescent="0.25">
      <c r="A125" s="79" t="s">
        <v>89</v>
      </c>
      <c r="B125" s="48" t="s">
        <v>254</v>
      </c>
      <c r="C125" s="127" t="s">
        <v>104</v>
      </c>
      <c r="D125" s="127">
        <v>1.7999999999999999E-2</v>
      </c>
      <c r="E125" s="283">
        <f>VLOOKUP(VATLIEU[[#This Row],[Danh mục vật liệu]],Table1[[TÊN VẬT TƯ]:[ĐƠN GIÁ
 (Chưa VAT)]],3,0)</f>
        <v>15000</v>
      </c>
      <c r="F125" s="287">
        <f t="shared" si="17"/>
        <v>270</v>
      </c>
      <c r="G125" s="259"/>
    </row>
    <row r="126" spans="1:8" ht="15.75" x14ac:dyDescent="0.25">
      <c r="A126" s="79" t="s">
        <v>89</v>
      </c>
      <c r="B126" s="48" t="s">
        <v>109</v>
      </c>
      <c r="C126" s="127" t="s">
        <v>107</v>
      </c>
      <c r="D126" s="127">
        <v>8.9999999999999993E-3</v>
      </c>
      <c r="E126" s="283">
        <f>VLOOKUP(VATLIEU[[#This Row],[Danh mục vật liệu]],Table1[[TÊN VẬT TƯ]:[ĐƠN GIÁ
 (Chưa VAT)]],3,0)</f>
        <v>4000</v>
      </c>
      <c r="F126" s="287">
        <f t="shared" si="17"/>
        <v>36</v>
      </c>
      <c r="G126" s="259"/>
    </row>
    <row r="127" spans="1:8" ht="15.75" x14ac:dyDescent="0.25">
      <c r="A127" s="79" t="s">
        <v>89</v>
      </c>
      <c r="B127" s="48" t="s">
        <v>253</v>
      </c>
      <c r="C127" s="127" t="s">
        <v>107</v>
      </c>
      <c r="D127" s="127">
        <v>1.8E-3</v>
      </c>
      <c r="E127" s="283">
        <f>VLOOKUP(VATLIEU[[#This Row],[Danh mục vật liệu]],Table1[[TÊN VẬT TƯ]:[ĐƠN GIÁ
 (Chưa VAT)]],3,0)</f>
        <v>22000</v>
      </c>
      <c r="F127" s="287">
        <f t="shared" si="17"/>
        <v>39.6</v>
      </c>
      <c r="G127" s="259"/>
    </row>
    <row r="128" spans="1:8" ht="15.75" x14ac:dyDescent="0.25">
      <c r="A128" s="77" t="s">
        <v>129</v>
      </c>
      <c r="B128" s="251" t="s">
        <v>33</v>
      </c>
      <c r="C128" s="47" t="s">
        <v>248</v>
      </c>
      <c r="D128" s="47"/>
      <c r="E128" s="252"/>
      <c r="F128" s="281">
        <f>SUM(F129:F132)</f>
        <v>161558</v>
      </c>
      <c r="G128" s="259" t="s">
        <v>262</v>
      </c>
    </row>
    <row r="129" spans="1:8" ht="22.5" customHeight="1" x14ac:dyDescent="0.25">
      <c r="A129" s="79" t="s">
        <v>89</v>
      </c>
      <c r="B129" s="48" t="s">
        <v>99</v>
      </c>
      <c r="C129" s="127" t="s">
        <v>100</v>
      </c>
      <c r="D129" s="127">
        <v>0.4</v>
      </c>
      <c r="E129" s="283">
        <f>VLOOKUP(VATLIEU[[#This Row],[Danh mục vật liệu]],Table1[[TÊN VẬT TƯ]:[ĐƠN GIÁ
 (Chưa VAT)]],3,0)</f>
        <v>81818</v>
      </c>
      <c r="F129" s="287">
        <f t="shared" ref="F129:F132" si="18">E129*D129</f>
        <v>32727.200000000001</v>
      </c>
      <c r="G129" s="259"/>
    </row>
    <row r="130" spans="1:8" ht="27.75" customHeight="1" x14ac:dyDescent="0.25">
      <c r="A130" s="79" t="s">
        <v>89</v>
      </c>
      <c r="B130" s="48" t="s">
        <v>243</v>
      </c>
      <c r="C130" s="127" t="s">
        <v>104</v>
      </c>
      <c r="D130" s="127">
        <v>0.08</v>
      </c>
      <c r="E130" s="283">
        <f>VLOOKUP(VATLIEU[[#This Row],[Danh mục vật liệu]],Table1[[TÊN VẬT TƯ]:[ĐƠN GIÁ
 (Chưa VAT)]],3,0)</f>
        <v>1560000</v>
      </c>
      <c r="F130" s="287">
        <f t="shared" si="18"/>
        <v>124800</v>
      </c>
      <c r="G130" s="259"/>
    </row>
    <row r="131" spans="1:8" ht="15.75" x14ac:dyDescent="0.25">
      <c r="A131" s="79" t="s">
        <v>89</v>
      </c>
      <c r="B131" s="48" t="s">
        <v>109</v>
      </c>
      <c r="C131" s="127" t="s">
        <v>107</v>
      </c>
      <c r="D131" s="127">
        <v>1</v>
      </c>
      <c r="E131" s="283">
        <f>VLOOKUP(VATLIEU[[#This Row],[Danh mục vật liệu]],Table1[[TÊN VẬT TƯ]:[ĐƠN GIÁ
 (Chưa VAT)]],3,0)</f>
        <v>4000</v>
      </c>
      <c r="F131" s="287">
        <f t="shared" si="18"/>
        <v>4000</v>
      </c>
      <c r="G131" s="259"/>
    </row>
    <row r="132" spans="1:8" ht="15.75" x14ac:dyDescent="0.25">
      <c r="A132" s="79" t="s">
        <v>89</v>
      </c>
      <c r="B132" s="48" t="s">
        <v>253</v>
      </c>
      <c r="C132" s="127" t="s">
        <v>107</v>
      </c>
      <c r="D132" s="127">
        <v>1.4E-3</v>
      </c>
      <c r="E132" s="283">
        <f>VLOOKUP(VATLIEU[[#This Row],[Danh mục vật liệu]],Table1[[TÊN VẬT TƯ]:[ĐƠN GIÁ
 (Chưa VAT)]],3,0)</f>
        <v>22000</v>
      </c>
      <c r="F132" s="287">
        <f t="shared" si="18"/>
        <v>30.8</v>
      </c>
      <c r="G132" s="259"/>
      <c r="H132" s="28"/>
    </row>
    <row r="133" spans="1:8" ht="31.5" x14ac:dyDescent="0.25">
      <c r="A133" s="77" t="s">
        <v>130</v>
      </c>
      <c r="B133" s="251" t="s">
        <v>34</v>
      </c>
      <c r="C133" s="47" t="s">
        <v>248</v>
      </c>
      <c r="D133" s="47"/>
      <c r="E133" s="252"/>
      <c r="F133" s="281">
        <f>SUM(F134:F137)</f>
        <v>2389.636</v>
      </c>
      <c r="G133" s="259" t="s">
        <v>262</v>
      </c>
    </row>
    <row r="134" spans="1:8" ht="15.75" x14ac:dyDescent="0.25">
      <c r="A134" s="79" t="s">
        <v>89</v>
      </c>
      <c r="B134" s="48" t="s">
        <v>99</v>
      </c>
      <c r="C134" s="127" t="s">
        <v>100</v>
      </c>
      <c r="D134" s="127">
        <v>2E-3</v>
      </c>
      <c r="E134" s="283">
        <f>VLOOKUP(VATLIEU[[#This Row],[Danh mục vật liệu]],Table1[[TÊN VẬT TƯ]:[ĐƠN GIÁ
 (Chưa VAT)]],3,0)</f>
        <v>81818</v>
      </c>
      <c r="F134" s="287">
        <f t="shared" ref="F134:F137" si="19">E134*D134</f>
        <v>163.636</v>
      </c>
      <c r="G134" s="259"/>
    </row>
    <row r="135" spans="1:8" ht="15.75" x14ac:dyDescent="0.25">
      <c r="A135" s="79" t="s">
        <v>89</v>
      </c>
      <c r="B135" s="48" t="s">
        <v>243</v>
      </c>
      <c r="C135" s="127" t="s">
        <v>104</v>
      </c>
      <c r="D135" s="127">
        <v>1.4E-3</v>
      </c>
      <c r="E135" s="283">
        <f>VLOOKUP(VATLIEU[[#This Row],[Danh mục vật liệu]],Table1[[TÊN VẬT TƯ]:[ĐƠN GIÁ
 (Chưa VAT)]],3,0)</f>
        <v>1560000</v>
      </c>
      <c r="F135" s="287">
        <f t="shared" si="19"/>
        <v>2184</v>
      </c>
      <c r="G135" s="259"/>
    </row>
    <row r="136" spans="1:8" ht="15.75" x14ac:dyDescent="0.25">
      <c r="A136" s="79" t="s">
        <v>89</v>
      </c>
      <c r="B136" s="48" t="s">
        <v>109</v>
      </c>
      <c r="C136" s="127" t="s">
        <v>107</v>
      </c>
      <c r="D136" s="127">
        <v>5.0000000000000001E-3</v>
      </c>
      <c r="E136" s="283">
        <f>VLOOKUP(VATLIEU[[#This Row],[Danh mục vật liệu]],Table1[[TÊN VẬT TƯ]:[ĐƠN GIÁ
 (Chưa VAT)]],3,0)</f>
        <v>4000</v>
      </c>
      <c r="F136" s="287">
        <f t="shared" si="19"/>
        <v>20</v>
      </c>
      <c r="G136" s="259"/>
    </row>
    <row r="137" spans="1:8" ht="15.75" x14ac:dyDescent="0.25">
      <c r="A137" s="79" t="s">
        <v>89</v>
      </c>
      <c r="B137" s="48" t="s">
        <v>253</v>
      </c>
      <c r="C137" s="127" t="s">
        <v>107</v>
      </c>
      <c r="D137" s="127">
        <v>1E-3</v>
      </c>
      <c r="E137" s="283">
        <f>VLOOKUP(VATLIEU[[#This Row],[Danh mục vật liệu]],Table1[[TÊN VẬT TƯ]:[ĐƠN GIÁ
 (Chưa VAT)]],3,0)</f>
        <v>22000</v>
      </c>
      <c r="F137" s="287">
        <f t="shared" si="19"/>
        <v>22</v>
      </c>
      <c r="G137" s="259"/>
    </row>
    <row r="138" spans="1:8" ht="31.5" x14ac:dyDescent="0.25">
      <c r="A138" s="77" t="s">
        <v>131</v>
      </c>
      <c r="B138" s="251" t="s">
        <v>35</v>
      </c>
      <c r="C138" s="47" t="s">
        <v>248</v>
      </c>
      <c r="D138" s="47"/>
      <c r="E138" s="252"/>
      <c r="F138" s="281">
        <f>SUM(F139:F141)</f>
        <v>335.67199999999997</v>
      </c>
      <c r="G138" s="259" t="s">
        <v>262</v>
      </c>
    </row>
    <row r="139" spans="1:8" ht="15.75" x14ac:dyDescent="0.25">
      <c r="A139" s="79" t="s">
        <v>89</v>
      </c>
      <c r="B139" s="48" t="s">
        <v>99</v>
      </c>
      <c r="C139" s="127" t="s">
        <v>100</v>
      </c>
      <c r="D139" s="127">
        <v>4.0000000000000001E-3</v>
      </c>
      <c r="E139" s="283">
        <f>VLOOKUP(VATLIEU[[#This Row],[Danh mục vật liệu]],Table1[[TÊN VẬT TƯ]:[ĐƠN GIÁ
 (Chưa VAT)]],3,0)</f>
        <v>81818</v>
      </c>
      <c r="F139" s="287">
        <f t="shared" ref="F139:F141" si="20">E139*D139</f>
        <v>327.27199999999999</v>
      </c>
      <c r="G139" s="259"/>
    </row>
    <row r="140" spans="1:8" ht="15.75" x14ac:dyDescent="0.25">
      <c r="A140" s="79" t="s">
        <v>89</v>
      </c>
      <c r="B140" s="48" t="s">
        <v>109</v>
      </c>
      <c r="C140" s="127" t="s">
        <v>107</v>
      </c>
      <c r="D140" s="127">
        <v>1E-3</v>
      </c>
      <c r="E140" s="283">
        <f>VLOOKUP(VATLIEU[[#This Row],[Danh mục vật liệu]],Table1[[TÊN VẬT TƯ]:[ĐƠN GIÁ
 (Chưa VAT)]],3,0)</f>
        <v>4000</v>
      </c>
      <c r="F140" s="287">
        <f t="shared" si="20"/>
        <v>4</v>
      </c>
      <c r="G140" s="259"/>
    </row>
    <row r="141" spans="1:8" ht="15.75" x14ac:dyDescent="0.25">
      <c r="A141" s="79" t="s">
        <v>89</v>
      </c>
      <c r="B141" s="48" t="s">
        <v>253</v>
      </c>
      <c r="C141" s="127" t="s">
        <v>107</v>
      </c>
      <c r="D141" s="127">
        <v>2.0000000000000001E-4</v>
      </c>
      <c r="E141" s="283">
        <f>VLOOKUP(VATLIEU[[#This Row],[Danh mục vật liệu]],Table1[[TÊN VẬT TƯ]:[ĐƠN GIÁ
 (Chưa VAT)]],3,0)</f>
        <v>22000</v>
      </c>
      <c r="F141" s="287">
        <f t="shared" si="20"/>
        <v>4.4000000000000004</v>
      </c>
      <c r="G141" s="259"/>
    </row>
    <row r="142" spans="1:8" ht="15.75" x14ac:dyDescent="0.25">
      <c r="A142" s="77" t="s">
        <v>132</v>
      </c>
      <c r="B142" s="251" t="s">
        <v>36</v>
      </c>
      <c r="C142" s="47" t="s">
        <v>248</v>
      </c>
      <c r="D142" s="47"/>
      <c r="E142" s="252"/>
      <c r="F142" s="281">
        <f>SUM(F143:F146)</f>
        <v>228533.46000000002</v>
      </c>
      <c r="G142" s="259" t="s">
        <v>262</v>
      </c>
    </row>
    <row r="143" spans="1:8" ht="15.75" x14ac:dyDescent="0.25">
      <c r="A143" s="79" t="s">
        <v>89</v>
      </c>
      <c r="B143" s="48" t="s">
        <v>99</v>
      </c>
      <c r="C143" s="127" t="s">
        <v>100</v>
      </c>
      <c r="D143" s="127">
        <v>0.56999999999999995</v>
      </c>
      <c r="E143" s="283">
        <f>VLOOKUP(VATLIEU[[#This Row],[Danh mục vật liệu]],Table1[[TÊN VẬT TƯ]:[ĐƠN GIÁ
 (Chưa VAT)]],3,0)</f>
        <v>81818</v>
      </c>
      <c r="F143" s="287">
        <f t="shared" ref="F143:F146" si="21">E143*D143</f>
        <v>46636.259999999995</v>
      </c>
      <c r="G143" s="259"/>
    </row>
    <row r="144" spans="1:8" ht="15.75" x14ac:dyDescent="0.25">
      <c r="A144" s="79" t="s">
        <v>89</v>
      </c>
      <c r="B144" s="48" t="s">
        <v>243</v>
      </c>
      <c r="C144" s="127" t="s">
        <v>104</v>
      </c>
      <c r="D144" s="127">
        <v>0.114</v>
      </c>
      <c r="E144" s="283">
        <f>VLOOKUP(VATLIEU[[#This Row],[Danh mục vật liệu]],Table1[[TÊN VẬT TƯ]:[ĐƠN GIÁ
 (Chưa VAT)]],3,0)</f>
        <v>1560000</v>
      </c>
      <c r="F144" s="287">
        <f t="shared" si="21"/>
        <v>177840</v>
      </c>
      <c r="G144" s="259"/>
    </row>
    <row r="145" spans="1:7" ht="15.75" x14ac:dyDescent="0.25">
      <c r="A145" s="79" t="s">
        <v>89</v>
      </c>
      <c r="B145" s="48" t="s">
        <v>109</v>
      </c>
      <c r="C145" s="127" t="s">
        <v>107</v>
      </c>
      <c r="D145" s="127">
        <v>1</v>
      </c>
      <c r="E145" s="283">
        <f>VLOOKUP(VATLIEU[[#This Row],[Danh mục vật liệu]],Table1[[TÊN VẬT TƯ]:[ĐƠN GIÁ
 (Chưa VAT)]],3,0)</f>
        <v>4000</v>
      </c>
      <c r="F145" s="287">
        <f t="shared" si="21"/>
        <v>4000</v>
      </c>
      <c r="G145" s="259"/>
    </row>
    <row r="146" spans="1:7" ht="15.75" x14ac:dyDescent="0.25">
      <c r="A146" s="79" t="s">
        <v>89</v>
      </c>
      <c r="B146" s="48" t="s">
        <v>253</v>
      </c>
      <c r="C146" s="127" t="s">
        <v>107</v>
      </c>
      <c r="D146" s="127">
        <v>2.5999999999999999E-3</v>
      </c>
      <c r="E146" s="283">
        <f>VLOOKUP(VATLIEU[[#This Row],[Danh mục vật liệu]],Table1[[TÊN VẬT TƯ]:[ĐƠN GIÁ
 (Chưa VAT)]],3,0)</f>
        <v>22000</v>
      </c>
      <c r="F146" s="287">
        <f t="shared" si="21"/>
        <v>57.199999999999996</v>
      </c>
      <c r="G146" s="259"/>
    </row>
    <row r="147" spans="1:7" ht="15.75" x14ac:dyDescent="0.25">
      <c r="A147" s="77" t="s">
        <v>133</v>
      </c>
      <c r="B147" s="251" t="s">
        <v>37</v>
      </c>
      <c r="C147" s="47" t="s">
        <v>248</v>
      </c>
      <c r="D147" s="47"/>
      <c r="E147" s="252"/>
      <c r="F147" s="281">
        <f>SUM(F148:F149)</f>
        <v>21</v>
      </c>
      <c r="G147" s="259" t="s">
        <v>262</v>
      </c>
    </row>
    <row r="148" spans="1:7" ht="15.75" x14ac:dyDescent="0.25">
      <c r="A148" s="79" t="s">
        <v>89</v>
      </c>
      <c r="B148" s="48" t="s">
        <v>109</v>
      </c>
      <c r="C148" s="127" t="s">
        <v>107</v>
      </c>
      <c r="D148" s="127">
        <v>2.5000000000000001E-3</v>
      </c>
      <c r="E148" s="283">
        <f>VLOOKUP(VATLIEU[[#This Row],[Danh mục vật liệu]],Table1[[TÊN VẬT TƯ]:[ĐƠN GIÁ
 (Chưa VAT)]],3,0)</f>
        <v>4000</v>
      </c>
      <c r="F148" s="287">
        <f t="shared" ref="F148:F149" si="22">E148*D148</f>
        <v>10</v>
      </c>
      <c r="G148" s="259"/>
    </row>
    <row r="149" spans="1:7" ht="15.75" x14ac:dyDescent="0.25">
      <c r="A149" s="79" t="s">
        <v>89</v>
      </c>
      <c r="B149" s="48" t="s">
        <v>253</v>
      </c>
      <c r="C149" s="127" t="s">
        <v>107</v>
      </c>
      <c r="D149" s="127">
        <v>5.0000000000000001E-4</v>
      </c>
      <c r="E149" s="283">
        <f>VLOOKUP(VATLIEU[[#This Row],[Danh mục vật liệu]],Table1[[TÊN VẬT TƯ]:[ĐƠN GIÁ
 (Chưa VAT)]],3,0)</f>
        <v>22000</v>
      </c>
      <c r="F149" s="287">
        <f t="shared" si="22"/>
        <v>11</v>
      </c>
      <c r="G149" s="259"/>
    </row>
    <row r="150" spans="1:7" ht="47.25" x14ac:dyDescent="0.25">
      <c r="A150" s="77" t="s">
        <v>134</v>
      </c>
      <c r="B150" s="251" t="s">
        <v>38</v>
      </c>
      <c r="C150" s="47" t="s">
        <v>248</v>
      </c>
      <c r="D150" s="47"/>
      <c r="E150" s="252"/>
      <c r="F150" s="281">
        <f>SUM(F151:F156)</f>
        <v>566423.63599999994</v>
      </c>
      <c r="G150" s="259" t="s">
        <v>262</v>
      </c>
    </row>
    <row r="151" spans="1:7" ht="15.75" x14ac:dyDescent="0.25">
      <c r="A151" s="79" t="s">
        <v>89</v>
      </c>
      <c r="B151" s="48" t="s">
        <v>99</v>
      </c>
      <c r="C151" s="127" t="s">
        <v>100</v>
      </c>
      <c r="D151" s="127">
        <v>2E-3</v>
      </c>
      <c r="E151" s="283">
        <f>VLOOKUP(VATLIEU[[#This Row],[Danh mục vật liệu]],Table1[[TÊN VẬT TƯ]:[ĐƠN GIÁ
 (Chưa VAT)]],3,0)</f>
        <v>81818</v>
      </c>
      <c r="F151" s="287">
        <f t="shared" ref="F151:F156" si="23">E151*D151</f>
        <v>163.636</v>
      </c>
      <c r="G151" s="259"/>
    </row>
    <row r="152" spans="1:7" ht="15.75" x14ac:dyDescent="0.25">
      <c r="A152" s="79" t="s">
        <v>89</v>
      </c>
      <c r="B152" s="170" t="s">
        <v>106</v>
      </c>
      <c r="C152" s="127" t="s">
        <v>107</v>
      </c>
      <c r="D152" s="127">
        <v>20</v>
      </c>
      <c r="E152" s="332">
        <f>VLOOKUP(VATLIEU[[#This Row],[Danh mục vật liệu]],Table1[[TÊN VẬT TƯ]:[ĐƠN GIÁ
 (Chưa VAT)]],3,0)</f>
        <v>25000</v>
      </c>
      <c r="F152" s="388">
        <f t="shared" si="23"/>
        <v>500000</v>
      </c>
      <c r="G152" s="259"/>
    </row>
    <row r="153" spans="1:7" ht="15.75" x14ac:dyDescent="0.25">
      <c r="A153" s="79" t="s">
        <v>89</v>
      </c>
      <c r="B153" s="48" t="s">
        <v>243</v>
      </c>
      <c r="C153" s="127" t="s">
        <v>104</v>
      </c>
      <c r="D153" s="127">
        <v>0.04</v>
      </c>
      <c r="E153" s="283">
        <f>VLOOKUP(VATLIEU[[#This Row],[Danh mục vật liệu]],Table1[[TÊN VẬT TƯ]:[ĐƠN GIÁ
 (Chưa VAT)]],3,0)</f>
        <v>1560000</v>
      </c>
      <c r="F153" s="287">
        <f t="shared" si="23"/>
        <v>62400</v>
      </c>
      <c r="G153" s="259"/>
    </row>
    <row r="154" spans="1:7" ht="15.75" x14ac:dyDescent="0.25">
      <c r="A154" s="79" t="s">
        <v>89</v>
      </c>
      <c r="B154" s="48" t="s">
        <v>106</v>
      </c>
      <c r="C154" s="127" t="s">
        <v>107</v>
      </c>
      <c r="D154" s="127">
        <v>9.1999999999999998E-3</v>
      </c>
      <c r="E154" s="283">
        <f>VLOOKUP(VATLIEU[[#This Row],[Danh mục vật liệu]],Table1[[TÊN VẬT TƯ]:[ĐƠN GIÁ
 (Chưa VAT)]],3,0)</f>
        <v>25000</v>
      </c>
      <c r="F154" s="287">
        <f t="shared" si="23"/>
        <v>230</v>
      </c>
      <c r="G154" s="259"/>
    </row>
    <row r="155" spans="1:7" ht="15.75" x14ac:dyDescent="0.25">
      <c r="A155" s="79" t="s">
        <v>89</v>
      </c>
      <c r="B155" s="48" t="s">
        <v>257</v>
      </c>
      <c r="C155" s="127" t="s">
        <v>107</v>
      </c>
      <c r="D155" s="127">
        <v>1</v>
      </c>
      <c r="E155" s="283">
        <f>VLOOKUP(VATLIEU[[#This Row],[Danh mục vật liệu]],Table1[[TÊN VẬT TƯ]:[ĐƠN GIÁ
 (Chưa VAT)]],3,0)</f>
        <v>3600</v>
      </c>
      <c r="F155" s="287">
        <f t="shared" si="23"/>
        <v>3600</v>
      </c>
      <c r="G155" s="259"/>
    </row>
    <row r="156" spans="1:7" ht="15.75" x14ac:dyDescent="0.25">
      <c r="A156" s="79" t="s">
        <v>89</v>
      </c>
      <c r="B156" s="48" t="s">
        <v>258</v>
      </c>
      <c r="C156" s="127" t="s">
        <v>107</v>
      </c>
      <c r="D156" s="127">
        <v>0.01</v>
      </c>
      <c r="E156" s="283">
        <f>VLOOKUP(VATLIEU[[#This Row],[Danh mục vật liệu]],Table1[[TÊN VẬT TƯ]:[ĐƠN GIÁ
 (Chưa VAT)]],3,0)</f>
        <v>3000</v>
      </c>
      <c r="F156" s="287">
        <f t="shared" si="23"/>
        <v>30</v>
      </c>
      <c r="G156" s="259"/>
    </row>
    <row r="157" spans="1:7" ht="15.75" x14ac:dyDescent="0.25">
      <c r="A157" s="77" t="s">
        <v>135</v>
      </c>
      <c r="B157" s="251" t="s">
        <v>39</v>
      </c>
      <c r="C157" s="47" t="s">
        <v>248</v>
      </c>
      <c r="D157" s="47"/>
      <c r="E157" s="252"/>
      <c r="F157" s="281">
        <f>SUM(F158:F160)</f>
        <v>502480</v>
      </c>
      <c r="G157" s="259" t="s">
        <v>262</v>
      </c>
    </row>
    <row r="158" spans="1:7" ht="15.75" x14ac:dyDescent="0.25">
      <c r="A158" s="79" t="s">
        <v>89</v>
      </c>
      <c r="B158" s="48" t="s">
        <v>259</v>
      </c>
      <c r="C158" s="127" t="s">
        <v>107</v>
      </c>
      <c r="D158" s="127">
        <v>10</v>
      </c>
      <c r="E158" s="283">
        <f>VLOOKUP(VATLIEU[[#This Row],[Danh mục vật liệu]],Table1[[TÊN VẬT TƯ]:[ĐƠN GIÁ
 (Chưa VAT)]],3,0)</f>
        <v>50000</v>
      </c>
      <c r="F158" s="287">
        <f t="shared" ref="F158:F160" si="24">E158*D158</f>
        <v>500000</v>
      </c>
      <c r="G158" s="259"/>
    </row>
    <row r="159" spans="1:7" ht="15.75" x14ac:dyDescent="0.25">
      <c r="A159" s="79" t="s">
        <v>89</v>
      </c>
      <c r="B159" s="48" t="s">
        <v>106</v>
      </c>
      <c r="C159" s="127" t="s">
        <v>107</v>
      </c>
      <c r="D159" s="127">
        <v>9.1999999999999998E-3</v>
      </c>
      <c r="E159" s="283">
        <f>VLOOKUP(VATLIEU[[#This Row],[Danh mục vật liệu]],Table1[[TÊN VẬT TƯ]:[ĐƠN GIÁ
 (Chưa VAT)]],3,0)</f>
        <v>25000</v>
      </c>
      <c r="F159" s="287">
        <f t="shared" si="24"/>
        <v>230</v>
      </c>
      <c r="G159" s="259"/>
    </row>
    <row r="160" spans="1:7" ht="15.75" x14ac:dyDescent="0.25">
      <c r="A160" s="79" t="s">
        <v>89</v>
      </c>
      <c r="B160" s="48" t="s">
        <v>260</v>
      </c>
      <c r="C160" s="127" t="s">
        <v>261</v>
      </c>
      <c r="D160" s="127">
        <v>0.5</v>
      </c>
      <c r="E160" s="283">
        <f>VLOOKUP(VATLIEU[[#This Row],[Danh mục vật liệu]],Table1[[TÊN VẬT TƯ]:[ĐƠN GIÁ
 (Chưa VAT)]],3,0)</f>
        <v>4500</v>
      </c>
      <c r="F160" s="287">
        <f t="shared" si="24"/>
        <v>2250</v>
      </c>
      <c r="G160" s="259"/>
    </row>
    <row r="161" spans="1:8" ht="31.5" x14ac:dyDescent="0.25">
      <c r="A161" s="77" t="s">
        <v>136</v>
      </c>
      <c r="B161" s="251" t="s">
        <v>40</v>
      </c>
      <c r="C161" s="47"/>
      <c r="D161" s="47"/>
      <c r="E161" s="252"/>
      <c r="F161" s="287">
        <v>0</v>
      </c>
      <c r="G161" s="189" t="s">
        <v>628</v>
      </c>
    </row>
    <row r="162" spans="1:8" ht="31.5" x14ac:dyDescent="0.25">
      <c r="A162" s="77" t="s">
        <v>137</v>
      </c>
      <c r="B162" s="251" t="s">
        <v>41</v>
      </c>
      <c r="C162" s="47" t="s">
        <v>248</v>
      </c>
      <c r="D162" s="47"/>
      <c r="E162" s="252"/>
      <c r="F162" s="281">
        <f>SUM(F163:F165)</f>
        <v>7048.9080000000004</v>
      </c>
      <c r="G162" s="259" t="s">
        <v>262</v>
      </c>
    </row>
    <row r="163" spans="1:8" ht="15.75" x14ac:dyDescent="0.25">
      <c r="A163" s="79" t="s">
        <v>89</v>
      </c>
      <c r="B163" s="48" t="s">
        <v>99</v>
      </c>
      <c r="C163" s="127" t="s">
        <v>100</v>
      </c>
      <c r="D163" s="127">
        <v>6.0000000000000001E-3</v>
      </c>
      <c r="E163" s="283">
        <f>VLOOKUP(VATLIEU[[#This Row],[Danh mục vật liệu]],Table1[[TÊN VẬT TƯ]:[ĐƠN GIÁ
 (Chưa VAT)]],3,0)</f>
        <v>81818</v>
      </c>
      <c r="F163" s="287">
        <f t="shared" ref="F163:F165" si="25">E163*D163</f>
        <v>490.90800000000002</v>
      </c>
      <c r="G163" s="259"/>
    </row>
    <row r="164" spans="1:8" ht="15.75" x14ac:dyDescent="0.25">
      <c r="A164" s="79" t="s">
        <v>89</v>
      </c>
      <c r="B164" s="48" t="s">
        <v>243</v>
      </c>
      <c r="C164" s="127" t="s">
        <v>104</v>
      </c>
      <c r="D164" s="127">
        <v>4.1999999999999997E-3</v>
      </c>
      <c r="E164" s="283">
        <f>VLOOKUP(VATLIEU[[#This Row],[Danh mục vật liệu]],Table1[[TÊN VẬT TƯ]:[ĐƠN GIÁ
 (Chưa VAT)]],3,0)</f>
        <v>1560000</v>
      </c>
      <c r="F164" s="287">
        <f t="shared" si="25"/>
        <v>6552</v>
      </c>
      <c r="G164" s="259"/>
    </row>
    <row r="165" spans="1:8" ht="15.75" x14ac:dyDescent="0.25">
      <c r="A165" s="79" t="s">
        <v>89</v>
      </c>
      <c r="B165" s="48" t="s">
        <v>109</v>
      </c>
      <c r="C165" s="127" t="s">
        <v>107</v>
      </c>
      <c r="D165" s="127">
        <v>1.5E-3</v>
      </c>
      <c r="E165" s="283">
        <f>VLOOKUP(VATLIEU[[#This Row],[Danh mục vật liệu]],Table1[[TÊN VẬT TƯ]:[ĐƠN GIÁ
 (Chưa VAT)]],3,0)</f>
        <v>4000</v>
      </c>
      <c r="F165" s="287">
        <f t="shared" si="25"/>
        <v>6</v>
      </c>
      <c r="G165" s="259"/>
    </row>
    <row r="166" spans="1:8" ht="15.75" x14ac:dyDescent="0.25">
      <c r="A166" s="78" t="s">
        <v>138</v>
      </c>
      <c r="B166" s="143" t="s">
        <v>42</v>
      </c>
      <c r="C166" s="44"/>
      <c r="D166" s="44"/>
      <c r="E166" s="148"/>
      <c r="F166" s="288">
        <f>F167+F171+F172+F173+F174</f>
        <v>9542.0399999999991</v>
      </c>
      <c r="G166" s="282" t="s">
        <v>270</v>
      </c>
    </row>
    <row r="167" spans="1:8" s="9" customFormat="1" ht="31.5" x14ac:dyDescent="0.25">
      <c r="A167" s="77" t="s">
        <v>139</v>
      </c>
      <c r="B167" s="251" t="s">
        <v>43</v>
      </c>
      <c r="C167" s="47" t="s">
        <v>536</v>
      </c>
      <c r="D167" s="47"/>
      <c r="E167" s="252"/>
      <c r="F167" s="281">
        <f>SUM(F168:F170)</f>
        <v>9542.0399999999991</v>
      </c>
      <c r="G167" s="259"/>
      <c r="H167" s="16"/>
    </row>
    <row r="168" spans="1:8" s="9" customFormat="1" ht="15.75" x14ac:dyDescent="0.25">
      <c r="A168" s="79" t="s">
        <v>89</v>
      </c>
      <c r="B168" s="48" t="s">
        <v>99</v>
      </c>
      <c r="C168" s="127" t="s">
        <v>100</v>
      </c>
      <c r="D168" s="127">
        <v>0.03</v>
      </c>
      <c r="E168" s="283">
        <f>VLOOKUP(VATLIEU[[#This Row],[Danh mục vật liệu]],Table1[[TÊN VẬT TƯ]:[ĐƠN GIÁ
 (Chưa VAT)]],3,0)</f>
        <v>81818</v>
      </c>
      <c r="F168" s="287">
        <f t="shared" ref="F168:F170" si="26">E168*D168</f>
        <v>2454.54</v>
      </c>
      <c r="G168" s="259"/>
      <c r="H168" s="16"/>
    </row>
    <row r="169" spans="1:8" s="9" customFormat="1" ht="15.75" x14ac:dyDescent="0.25">
      <c r="A169" s="79" t="s">
        <v>89</v>
      </c>
      <c r="B169" s="48" t="s">
        <v>243</v>
      </c>
      <c r="C169" s="127" t="s">
        <v>104</v>
      </c>
      <c r="D169" s="127">
        <v>4.4999999999999997E-3</v>
      </c>
      <c r="E169" s="283">
        <f>VLOOKUP(VATLIEU[[#This Row],[Danh mục vật liệu]],Table1[[TÊN VẬT TƯ]:[ĐƠN GIÁ
 (Chưa VAT)]],3,0)</f>
        <v>1560000</v>
      </c>
      <c r="F169" s="287">
        <f t="shared" si="26"/>
        <v>7019.9999999999991</v>
      </c>
      <c r="G169" s="259"/>
      <c r="H169" s="16"/>
    </row>
    <row r="170" spans="1:8" ht="15.75" x14ac:dyDescent="0.25">
      <c r="A170" s="79" t="s">
        <v>89</v>
      </c>
      <c r="B170" s="48" t="s">
        <v>260</v>
      </c>
      <c r="C170" s="127" t="s">
        <v>261</v>
      </c>
      <c r="D170" s="127">
        <v>1.4999999999999999E-2</v>
      </c>
      <c r="E170" s="283">
        <f>VLOOKUP(VATLIEU[[#This Row],[Danh mục vật liệu]],Table1[[TÊN VẬT TƯ]:[ĐƠN GIÁ
 (Chưa VAT)]],3,0)</f>
        <v>4500</v>
      </c>
      <c r="F170" s="287">
        <f t="shared" si="26"/>
        <v>67.5</v>
      </c>
      <c r="G170" s="259"/>
    </row>
    <row r="171" spans="1:8" ht="47.25" x14ac:dyDescent="0.25">
      <c r="A171" s="77" t="s">
        <v>140</v>
      </c>
      <c r="B171" s="251" t="s">
        <v>44</v>
      </c>
      <c r="C171" s="47"/>
      <c r="D171" s="47"/>
      <c r="E171" s="252"/>
      <c r="F171" s="287">
        <v>0</v>
      </c>
      <c r="G171" s="259" t="s">
        <v>628</v>
      </c>
    </row>
    <row r="172" spans="1:8" ht="51" x14ac:dyDescent="0.25">
      <c r="A172" s="77" t="s">
        <v>141</v>
      </c>
      <c r="B172" s="251" t="s">
        <v>45</v>
      </c>
      <c r="C172" s="47"/>
      <c r="D172" s="47"/>
      <c r="E172" s="252"/>
      <c r="F172" s="287">
        <v>0</v>
      </c>
      <c r="G172" s="189" t="s">
        <v>534</v>
      </c>
    </row>
    <row r="173" spans="1:8" ht="15.75" x14ac:dyDescent="0.25">
      <c r="A173" s="77" t="s">
        <v>142</v>
      </c>
      <c r="B173" s="251" t="s">
        <v>46</v>
      </c>
      <c r="C173" s="47"/>
      <c r="D173" s="47"/>
      <c r="E173" s="252"/>
      <c r="F173" s="287">
        <v>0</v>
      </c>
      <c r="G173" s="259" t="s">
        <v>628</v>
      </c>
    </row>
    <row r="174" spans="1:8" ht="15.75" x14ac:dyDescent="0.25">
      <c r="A174" s="77" t="s">
        <v>143</v>
      </c>
      <c r="B174" s="251" t="s">
        <v>47</v>
      </c>
      <c r="C174" s="47"/>
      <c r="D174" s="47"/>
      <c r="E174" s="252"/>
      <c r="F174" s="287">
        <v>0</v>
      </c>
      <c r="G174" s="259" t="s">
        <v>54</v>
      </c>
    </row>
    <row r="175" spans="1:8" ht="15.75" x14ac:dyDescent="0.25">
      <c r="A175" s="78" t="s">
        <v>144</v>
      </c>
      <c r="B175" s="143" t="s">
        <v>48</v>
      </c>
      <c r="C175" s="44"/>
      <c r="D175" s="44"/>
      <c r="E175" s="148"/>
      <c r="F175" s="288"/>
      <c r="G175" s="282" t="s">
        <v>292</v>
      </c>
    </row>
    <row r="176" spans="1:8" ht="15.75" x14ac:dyDescent="0.25">
      <c r="A176" s="202"/>
      <c r="B176" s="278" t="s">
        <v>272</v>
      </c>
      <c r="C176" s="329"/>
      <c r="D176" s="231"/>
      <c r="E176" s="323"/>
      <c r="F176" s="279">
        <f>F177+F183</f>
        <v>44204.436000000002</v>
      </c>
      <c r="G176" s="233" t="s">
        <v>491</v>
      </c>
    </row>
    <row r="177" spans="1:7" ht="18.75" x14ac:dyDescent="0.25">
      <c r="A177" s="77" t="s">
        <v>145</v>
      </c>
      <c r="B177" s="251" t="s">
        <v>48</v>
      </c>
      <c r="C177" s="416" t="s">
        <v>582</v>
      </c>
      <c r="D177" s="47"/>
      <c r="E177" s="252"/>
      <c r="F177" s="281">
        <f>SUM(F178:F182)</f>
        <v>4822.6360000000004</v>
      </c>
      <c r="G177" s="259"/>
    </row>
    <row r="178" spans="1:7" ht="15.75" x14ac:dyDescent="0.25">
      <c r="A178" s="79" t="s">
        <v>89</v>
      </c>
      <c r="B178" s="48" t="s">
        <v>284</v>
      </c>
      <c r="C178" s="127" t="s">
        <v>107</v>
      </c>
      <c r="D178" s="127">
        <v>0.01</v>
      </c>
      <c r="E178" s="283">
        <f>VLOOKUP(VATLIEU[[#This Row],[Danh mục vật liệu]],Table1[[TÊN VẬT TƯ]:[ĐƠN GIÁ
 (Chưa VAT)]],3,0)</f>
        <v>5500</v>
      </c>
      <c r="F178" s="287">
        <f t="shared" ref="F178:F182" si="27">E178*D178</f>
        <v>55</v>
      </c>
      <c r="G178" s="259"/>
    </row>
    <row r="179" spans="1:7" ht="15.75" x14ac:dyDescent="0.25">
      <c r="A179" s="79" t="s">
        <v>89</v>
      </c>
      <c r="B179" s="48" t="s">
        <v>285</v>
      </c>
      <c r="C179" s="127" t="s">
        <v>286</v>
      </c>
      <c r="D179" s="127">
        <v>1.4E-2</v>
      </c>
      <c r="E179" s="283">
        <f>VLOOKUP(VATLIEU[[#This Row],[Danh mục vật liệu]],Table1[[TÊN VẬT TƯ]:[ĐƠN GIÁ
 (Chưa VAT)]],3,0)</f>
        <v>38000</v>
      </c>
      <c r="F179" s="287">
        <f t="shared" si="27"/>
        <v>532</v>
      </c>
      <c r="G179" s="259"/>
    </row>
    <row r="180" spans="1:7" ht="15.75" x14ac:dyDescent="0.25">
      <c r="A180" s="79" t="s">
        <v>89</v>
      </c>
      <c r="B180" s="48" t="s">
        <v>287</v>
      </c>
      <c r="C180" s="127" t="s">
        <v>288</v>
      </c>
      <c r="D180" s="127">
        <v>0.01</v>
      </c>
      <c r="E180" s="283">
        <f>VLOOKUP(VATLIEU[[#This Row],[Danh mục vật liệu]],Table1[[TÊN VẬT TƯ]:[ĐƠN GIÁ
 (Chưa VAT)]],3,0)</f>
        <v>350000</v>
      </c>
      <c r="F180" s="287">
        <f t="shared" si="27"/>
        <v>3500</v>
      </c>
      <c r="G180" s="259"/>
    </row>
    <row r="181" spans="1:7" ht="15.75" x14ac:dyDescent="0.25">
      <c r="A181" s="79" t="s">
        <v>89</v>
      </c>
      <c r="B181" s="48" t="s">
        <v>289</v>
      </c>
      <c r="C181" s="127" t="s">
        <v>104</v>
      </c>
      <c r="D181" s="127">
        <v>4.0000000000000001E-3</v>
      </c>
      <c r="E181" s="283">
        <f>VLOOKUP(VATLIEU[[#This Row],[Danh mục vật liệu]],Table1[[TÊN VẬT TƯ]:[ĐƠN GIÁ
 (Chưa VAT)]],3,0)</f>
        <v>33000</v>
      </c>
      <c r="F181" s="287">
        <f t="shared" si="27"/>
        <v>132</v>
      </c>
      <c r="G181" s="259"/>
    </row>
    <row r="182" spans="1:7" ht="15.75" x14ac:dyDescent="0.25">
      <c r="A182" s="79" t="s">
        <v>89</v>
      </c>
      <c r="B182" s="48" t="s">
        <v>290</v>
      </c>
      <c r="C182" s="127" t="s">
        <v>286</v>
      </c>
      <c r="D182" s="127">
        <v>4.0000000000000001E-3</v>
      </c>
      <c r="E182" s="283">
        <f>VLOOKUP(VATLIEU[[#This Row],[Danh mục vật liệu]],Table1[[TÊN VẬT TƯ]:[ĐƠN GIÁ
 (Chưa VAT)]],3,0)</f>
        <v>150909</v>
      </c>
      <c r="F182" s="287">
        <f t="shared" si="27"/>
        <v>603.63599999999997</v>
      </c>
      <c r="G182" s="259"/>
    </row>
    <row r="183" spans="1:7" ht="15.75" x14ac:dyDescent="0.25">
      <c r="A183" s="77" t="s">
        <v>146</v>
      </c>
      <c r="B183" s="251" t="s">
        <v>49</v>
      </c>
      <c r="C183" s="47" t="s">
        <v>291</v>
      </c>
      <c r="D183" s="47"/>
      <c r="E183" s="252"/>
      <c r="F183" s="281">
        <f>SUM(F184:F185)</f>
        <v>39381.800000000003</v>
      </c>
      <c r="G183" s="259"/>
    </row>
    <row r="184" spans="1:7" ht="15.75" x14ac:dyDescent="0.25">
      <c r="A184" s="79" t="s">
        <v>89</v>
      </c>
      <c r="B184" s="48" t="s">
        <v>99</v>
      </c>
      <c r="C184" s="127" t="s">
        <v>100</v>
      </c>
      <c r="D184" s="127">
        <v>0.1</v>
      </c>
      <c r="E184" s="283">
        <f>VLOOKUP(VATLIEU[[#This Row],[Danh mục vật liệu]],Table1[[TÊN VẬT TƯ]:[ĐƠN GIÁ
 (Chưa VAT)]],3,0)</f>
        <v>81818</v>
      </c>
      <c r="F184" s="287">
        <f t="shared" ref="F184:F185" si="28">E184*D184</f>
        <v>8181.8</v>
      </c>
      <c r="G184" s="259"/>
    </row>
    <row r="185" spans="1:7" ht="15.75" x14ac:dyDescent="0.25">
      <c r="A185" s="79" t="s">
        <v>89</v>
      </c>
      <c r="B185" s="48" t="s">
        <v>243</v>
      </c>
      <c r="C185" s="127" t="s">
        <v>104</v>
      </c>
      <c r="D185" s="127">
        <v>0.02</v>
      </c>
      <c r="E185" s="283">
        <f>VLOOKUP(VATLIEU[[#This Row],[Danh mục vật liệu]],Table1[[TÊN VẬT TƯ]:[ĐƠN GIÁ
 (Chưa VAT)]],3,0)</f>
        <v>1560000</v>
      </c>
      <c r="F185" s="287">
        <f t="shared" si="28"/>
        <v>31200</v>
      </c>
      <c r="G185" s="259"/>
    </row>
    <row r="186" spans="1:7" ht="15.75" x14ac:dyDescent="0.25">
      <c r="A186" s="202"/>
      <c r="B186" s="278" t="s">
        <v>273</v>
      </c>
      <c r="C186" s="231"/>
      <c r="D186" s="231"/>
      <c r="E186" s="334"/>
      <c r="F186" s="279">
        <f>SUM(F187:F188)</f>
        <v>53045.323200000006</v>
      </c>
      <c r="G186" s="233" t="s">
        <v>489</v>
      </c>
    </row>
    <row r="187" spans="1:7" ht="15.75" x14ac:dyDescent="0.25">
      <c r="A187" s="77" t="s">
        <v>145</v>
      </c>
      <c r="B187" s="251" t="s">
        <v>48</v>
      </c>
      <c r="C187" s="47" t="s">
        <v>535</v>
      </c>
      <c r="D187" s="127"/>
      <c r="E187" s="283"/>
      <c r="F187" s="281">
        <f>$F$177*1.2</f>
        <v>5787.1632</v>
      </c>
      <c r="G187" s="259"/>
    </row>
    <row r="188" spans="1:7" ht="15.75" x14ac:dyDescent="0.25">
      <c r="A188" s="77" t="s">
        <v>146</v>
      </c>
      <c r="B188" s="251" t="s">
        <v>49</v>
      </c>
      <c r="C188" s="47" t="s">
        <v>535</v>
      </c>
      <c r="D188" s="127"/>
      <c r="E188" s="283"/>
      <c r="F188" s="281">
        <f>$F$183*1.2</f>
        <v>47258.16</v>
      </c>
      <c r="G188" s="259"/>
    </row>
    <row r="189" spans="1:7" ht="15.75" x14ac:dyDescent="0.25">
      <c r="A189" s="202"/>
      <c r="B189" s="278" t="s">
        <v>274</v>
      </c>
      <c r="C189" s="231"/>
      <c r="D189" s="231"/>
      <c r="E189" s="334"/>
      <c r="F189" s="279">
        <f>SUM(F190:F191)</f>
        <v>66306.65400000001</v>
      </c>
      <c r="G189" s="233" t="s">
        <v>490</v>
      </c>
    </row>
    <row r="190" spans="1:7" ht="15.75" x14ac:dyDescent="0.25">
      <c r="A190" s="77" t="s">
        <v>145</v>
      </c>
      <c r="B190" s="251" t="s">
        <v>48</v>
      </c>
      <c r="C190" s="47" t="s">
        <v>535</v>
      </c>
      <c r="D190" s="127"/>
      <c r="E190" s="283"/>
      <c r="F190" s="281">
        <f>$F$177*1.5</f>
        <v>7233.9540000000006</v>
      </c>
      <c r="G190" s="259"/>
    </row>
    <row r="191" spans="1:7" ht="15.75" x14ac:dyDescent="0.25">
      <c r="A191" s="77" t="s">
        <v>146</v>
      </c>
      <c r="B191" s="251" t="s">
        <v>49</v>
      </c>
      <c r="C191" s="47" t="s">
        <v>535</v>
      </c>
      <c r="D191" s="127"/>
      <c r="E191" s="283"/>
      <c r="F191" s="281">
        <f>$F$183*1.5</f>
        <v>59072.700000000004</v>
      </c>
      <c r="G191" s="259"/>
    </row>
    <row r="192" spans="1:7" ht="15.75" x14ac:dyDescent="0.25">
      <c r="A192" s="78" t="s">
        <v>296</v>
      </c>
      <c r="B192" s="143" t="s">
        <v>50</v>
      </c>
      <c r="C192" s="44"/>
      <c r="D192" s="44"/>
      <c r="E192" s="148"/>
      <c r="F192" s="288"/>
      <c r="G192" s="282" t="s">
        <v>297</v>
      </c>
    </row>
    <row r="193" spans="1:7" ht="15.75" x14ac:dyDescent="0.25">
      <c r="A193" s="202"/>
      <c r="B193" s="278" t="s">
        <v>272</v>
      </c>
      <c r="C193" s="329"/>
      <c r="D193" s="231"/>
      <c r="E193" s="323"/>
      <c r="F193" s="279">
        <f>F194+F197</f>
        <v>482.95</v>
      </c>
      <c r="G193" s="233" t="s">
        <v>491</v>
      </c>
    </row>
    <row r="194" spans="1:7" ht="15.75" x14ac:dyDescent="0.25">
      <c r="A194" s="77" t="s">
        <v>147</v>
      </c>
      <c r="B194" s="251" t="s">
        <v>50</v>
      </c>
      <c r="C194" s="47" t="s">
        <v>535</v>
      </c>
      <c r="D194" s="47"/>
      <c r="E194" s="252"/>
      <c r="F194" s="281">
        <f>SUM(F195:F196)</f>
        <v>482.95</v>
      </c>
      <c r="G194" s="259"/>
    </row>
    <row r="195" spans="1:7" ht="15.75" x14ac:dyDescent="0.25">
      <c r="A195" s="79" t="s">
        <v>89</v>
      </c>
      <c r="B195" s="48" t="s">
        <v>284</v>
      </c>
      <c r="C195" s="289" t="s">
        <v>107</v>
      </c>
      <c r="D195" s="289">
        <v>1.6899999999999998E-2</v>
      </c>
      <c r="E195" s="283">
        <f>VLOOKUP(VATLIEU[[#This Row],[Danh mục vật liệu]],Table1[[TÊN VẬT TƯ]:[ĐƠN GIÁ
 (Chưa VAT)]],3,0)</f>
        <v>5500</v>
      </c>
      <c r="F195" s="287">
        <f t="shared" ref="F195:F196" si="29">E195*D195</f>
        <v>92.949999999999989</v>
      </c>
      <c r="G195" s="259"/>
    </row>
    <row r="196" spans="1:7" ht="15.75" x14ac:dyDescent="0.25">
      <c r="A196" s="79" t="s">
        <v>89</v>
      </c>
      <c r="B196" s="48" t="s">
        <v>295</v>
      </c>
      <c r="C196" s="289" t="s">
        <v>288</v>
      </c>
      <c r="D196" s="289">
        <v>0.01</v>
      </c>
      <c r="E196" s="283">
        <f>VLOOKUP(VATLIEU[[#This Row],[Danh mục vật liệu]],Table1[[TÊN VẬT TƯ]:[ĐƠN GIÁ
 (Chưa VAT)]],3,0)</f>
        <v>39000</v>
      </c>
      <c r="F196" s="287">
        <f t="shared" si="29"/>
        <v>390</v>
      </c>
      <c r="G196" s="259"/>
    </row>
    <row r="197" spans="1:7" ht="15.75" x14ac:dyDescent="0.2">
      <c r="A197" s="77" t="s">
        <v>148</v>
      </c>
      <c r="B197" s="251" t="s">
        <v>51</v>
      </c>
      <c r="C197" s="47"/>
      <c r="D197" s="47"/>
      <c r="E197" s="252"/>
      <c r="F197" s="281">
        <v>0</v>
      </c>
      <c r="G197" s="290" t="s">
        <v>54</v>
      </c>
    </row>
    <row r="198" spans="1:7" ht="15.75" x14ac:dyDescent="0.25">
      <c r="A198" s="202"/>
      <c r="B198" s="278" t="s">
        <v>273</v>
      </c>
      <c r="C198" s="231"/>
      <c r="D198" s="231"/>
      <c r="E198" s="334"/>
      <c r="F198" s="279">
        <f>SUM(F199:F200)</f>
        <v>579.54</v>
      </c>
      <c r="G198" s="233" t="s">
        <v>489</v>
      </c>
    </row>
    <row r="199" spans="1:7" ht="15.75" x14ac:dyDescent="0.2">
      <c r="A199" s="77" t="s">
        <v>147</v>
      </c>
      <c r="B199" s="251" t="s">
        <v>50</v>
      </c>
      <c r="C199" s="47" t="s">
        <v>535</v>
      </c>
      <c r="D199" s="47"/>
      <c r="E199" s="252"/>
      <c r="F199" s="281">
        <f>F194*1.2</f>
        <v>579.54</v>
      </c>
      <c r="G199" s="290"/>
    </row>
    <row r="200" spans="1:7" ht="15.75" x14ac:dyDescent="0.2">
      <c r="A200" s="77" t="s">
        <v>148</v>
      </c>
      <c r="B200" s="251" t="s">
        <v>51</v>
      </c>
      <c r="C200" s="47"/>
      <c r="D200" s="47"/>
      <c r="E200" s="252"/>
      <c r="F200" s="281">
        <f>F197*1.2</f>
        <v>0</v>
      </c>
      <c r="G200" s="290" t="s">
        <v>54</v>
      </c>
    </row>
    <row r="201" spans="1:7" ht="15.75" x14ac:dyDescent="0.25">
      <c r="A201" s="202"/>
      <c r="B201" s="278" t="s">
        <v>274</v>
      </c>
      <c r="C201" s="231"/>
      <c r="D201" s="231"/>
      <c r="E201" s="334"/>
      <c r="F201" s="279">
        <f>SUM(F202:F203)</f>
        <v>724.42499999999995</v>
      </c>
      <c r="G201" s="233" t="s">
        <v>490</v>
      </c>
    </row>
    <row r="202" spans="1:7" ht="15.75" x14ac:dyDescent="0.2">
      <c r="A202" s="77" t="s">
        <v>147</v>
      </c>
      <c r="B202" s="251" t="s">
        <v>50</v>
      </c>
      <c r="C202" s="47" t="s">
        <v>535</v>
      </c>
      <c r="D202" s="47"/>
      <c r="E202" s="252"/>
      <c r="F202" s="281">
        <f>F194*1.5</f>
        <v>724.42499999999995</v>
      </c>
      <c r="G202" s="290"/>
    </row>
    <row r="203" spans="1:7" ht="15.75" x14ac:dyDescent="0.2">
      <c r="A203" s="77" t="s">
        <v>148</v>
      </c>
      <c r="B203" s="251" t="s">
        <v>51</v>
      </c>
      <c r="C203" s="47"/>
      <c r="D203" s="47"/>
      <c r="E203" s="252"/>
      <c r="F203" s="281">
        <f>F197*1.5</f>
        <v>0</v>
      </c>
      <c r="G203" s="290" t="s">
        <v>54</v>
      </c>
    </row>
    <row r="204" spans="1:7" ht="15.75" x14ac:dyDescent="0.25">
      <c r="A204" s="78" t="s">
        <v>161</v>
      </c>
      <c r="B204" s="143" t="s">
        <v>57</v>
      </c>
      <c r="C204" s="44"/>
      <c r="D204" s="44"/>
      <c r="E204" s="148"/>
      <c r="F204" s="288">
        <f>F205+F207+F210+F211+F212</f>
        <v>25394.716</v>
      </c>
      <c r="G204" s="282"/>
    </row>
    <row r="205" spans="1:7" ht="15.75" x14ac:dyDescent="0.25">
      <c r="A205" s="77" t="s">
        <v>149</v>
      </c>
      <c r="B205" s="251" t="s">
        <v>58</v>
      </c>
      <c r="C205" s="47" t="s">
        <v>537</v>
      </c>
      <c r="D205" s="47"/>
      <c r="E205" s="252"/>
      <c r="F205" s="281">
        <f>F206</f>
        <v>41.999999999999993</v>
      </c>
      <c r="G205" s="259"/>
    </row>
    <row r="206" spans="1:7" ht="15.75" x14ac:dyDescent="0.25">
      <c r="A206" s="79" t="s">
        <v>89</v>
      </c>
      <c r="B206" s="48" t="s">
        <v>303</v>
      </c>
      <c r="C206" s="127" t="s">
        <v>288</v>
      </c>
      <c r="D206" s="127">
        <v>5.9999999999999995E-4</v>
      </c>
      <c r="E206" s="283">
        <f>VLOOKUP(VATLIEU[[#This Row],[Danh mục vật liệu]],Table1[[TÊN VẬT TƯ]:[ĐƠN GIÁ
 (Chưa VAT)]],3,0)</f>
        <v>70000</v>
      </c>
      <c r="F206" s="287">
        <f t="shared" ref="F206" si="30">E206*D206</f>
        <v>41.999999999999993</v>
      </c>
      <c r="G206" s="259"/>
    </row>
    <row r="207" spans="1:7" ht="31.5" x14ac:dyDescent="0.25">
      <c r="A207" s="77" t="s">
        <v>150</v>
      </c>
      <c r="B207" s="251" t="s">
        <v>59</v>
      </c>
      <c r="C207" s="47" t="s">
        <v>537</v>
      </c>
      <c r="D207" s="47"/>
      <c r="E207" s="252"/>
      <c r="F207" s="281">
        <f>SUM(F208:F209)</f>
        <v>25352.716</v>
      </c>
      <c r="G207" s="259"/>
    </row>
    <row r="208" spans="1:7" ht="15.75" x14ac:dyDescent="0.25">
      <c r="A208" s="79" t="s">
        <v>89</v>
      </c>
      <c r="B208" s="48" t="s">
        <v>99</v>
      </c>
      <c r="C208" s="127" t="s">
        <v>100</v>
      </c>
      <c r="D208" s="127">
        <v>6.2E-2</v>
      </c>
      <c r="E208" s="283">
        <f>VLOOKUP(VATLIEU[[#This Row],[Danh mục vật liệu]],Table1[[TÊN VẬT TƯ]:[ĐƠN GIÁ
 (Chưa VAT)]],3,0)</f>
        <v>81818</v>
      </c>
      <c r="F208" s="287">
        <f t="shared" ref="F208:F209" si="31">E208*D208</f>
        <v>5072.7160000000003</v>
      </c>
      <c r="G208" s="259"/>
    </row>
    <row r="209" spans="1:7" ht="15.75" x14ac:dyDescent="0.25">
      <c r="A209" s="79" t="s">
        <v>89</v>
      </c>
      <c r="B209" s="48" t="s">
        <v>243</v>
      </c>
      <c r="C209" s="127" t="s">
        <v>104</v>
      </c>
      <c r="D209" s="127">
        <v>1.2999999999999999E-2</v>
      </c>
      <c r="E209" s="283">
        <f>VLOOKUP(VATLIEU[[#This Row],[Danh mục vật liệu]],Table1[[TÊN VẬT TƯ]:[ĐƠN GIÁ
 (Chưa VAT)]],3,0)</f>
        <v>1560000</v>
      </c>
      <c r="F209" s="287">
        <f t="shared" si="31"/>
        <v>20280</v>
      </c>
      <c r="G209" s="259"/>
    </row>
    <row r="210" spans="1:7" ht="51" x14ac:dyDescent="0.25">
      <c r="A210" s="77" t="s">
        <v>151</v>
      </c>
      <c r="B210" s="251" t="s">
        <v>60</v>
      </c>
      <c r="C210" s="47"/>
      <c r="D210" s="47"/>
      <c r="E210" s="252"/>
      <c r="F210" s="281">
        <v>0</v>
      </c>
      <c r="G210" s="265" t="s">
        <v>529</v>
      </c>
    </row>
    <row r="211" spans="1:7" ht="51" x14ac:dyDescent="0.25">
      <c r="A211" s="77" t="s">
        <v>152</v>
      </c>
      <c r="B211" s="251" t="s">
        <v>61</v>
      </c>
      <c r="C211" s="47"/>
      <c r="D211" s="47"/>
      <c r="E211" s="252"/>
      <c r="F211" s="281">
        <v>0</v>
      </c>
      <c r="G211" s="265" t="s">
        <v>529</v>
      </c>
    </row>
    <row r="212" spans="1:7" ht="15.75" x14ac:dyDescent="0.25">
      <c r="A212" s="77" t="s">
        <v>153</v>
      </c>
      <c r="B212" s="251" t="s">
        <v>62</v>
      </c>
      <c r="C212" s="47"/>
      <c r="D212" s="47"/>
      <c r="E212" s="252"/>
      <c r="F212" s="281">
        <v>0</v>
      </c>
      <c r="G212" s="259" t="s">
        <v>54</v>
      </c>
    </row>
    <row r="213" spans="1:7" ht="15.75" x14ac:dyDescent="0.25">
      <c r="A213" s="78" t="s">
        <v>160</v>
      </c>
      <c r="B213" s="148" t="s">
        <v>63</v>
      </c>
      <c r="C213" s="44"/>
      <c r="D213" s="44"/>
      <c r="E213" s="148"/>
      <c r="F213" s="288"/>
      <c r="G213" s="282" t="s">
        <v>308</v>
      </c>
    </row>
    <row r="214" spans="1:7" ht="15.75" x14ac:dyDescent="0.25">
      <c r="A214" s="78"/>
      <c r="B214" s="379" t="s">
        <v>614</v>
      </c>
      <c r="C214" s="44"/>
      <c r="D214" s="44"/>
      <c r="E214" s="148"/>
      <c r="F214" s="288"/>
      <c r="G214" s="282"/>
    </row>
    <row r="215" spans="1:7" ht="15.75" x14ac:dyDescent="0.25">
      <c r="A215" s="202" t="s">
        <v>504</v>
      </c>
      <c r="B215" s="278" t="s">
        <v>505</v>
      </c>
      <c r="C215" s="231"/>
      <c r="D215" s="231"/>
      <c r="E215" s="323"/>
      <c r="F215" s="279">
        <f>F216+F217+F224+F231+F232+F233</f>
        <v>46880.507000000005</v>
      </c>
      <c r="G215" s="330"/>
    </row>
    <row r="216" spans="1:7" ht="47.25" x14ac:dyDescent="0.25">
      <c r="A216" s="77" t="s">
        <v>154</v>
      </c>
      <c r="B216" s="251" t="s">
        <v>64</v>
      </c>
      <c r="C216" s="47"/>
      <c r="D216" s="47"/>
      <c r="E216" s="252"/>
      <c r="F216" s="281">
        <v>0</v>
      </c>
      <c r="G216" s="259" t="s">
        <v>628</v>
      </c>
    </row>
    <row r="217" spans="1:7" ht="15.75" x14ac:dyDescent="0.25">
      <c r="A217" s="77" t="s">
        <v>155</v>
      </c>
      <c r="B217" s="251" t="s">
        <v>65</v>
      </c>
      <c r="C217" s="47" t="s">
        <v>538</v>
      </c>
      <c r="D217" s="47"/>
      <c r="E217" s="252"/>
      <c r="F217" s="281">
        <f>SUM(F218:F223)</f>
        <v>2132.6800000000003</v>
      </c>
      <c r="G217" s="259"/>
    </row>
    <row r="218" spans="1:7" ht="15.75" x14ac:dyDescent="0.25">
      <c r="A218" s="79" t="s">
        <v>89</v>
      </c>
      <c r="B218" s="48" t="s">
        <v>109</v>
      </c>
      <c r="C218" s="127" t="s">
        <v>107</v>
      </c>
      <c r="D218" s="127">
        <v>0.01</v>
      </c>
      <c r="E218" s="283">
        <f>VLOOKUP(VATLIEU[[#This Row],[Danh mục vật liệu]],Table1[[TÊN VẬT TƯ]:[ĐƠN GIÁ
 (Chưa VAT)]],3,0)</f>
        <v>4000</v>
      </c>
      <c r="F218" s="287">
        <f t="shared" ref="F218:F223" si="32">E218*D218</f>
        <v>40</v>
      </c>
      <c r="G218" s="259"/>
    </row>
    <row r="219" spans="1:7" ht="15.75" x14ac:dyDescent="0.25">
      <c r="A219" s="79" t="s">
        <v>89</v>
      </c>
      <c r="B219" s="48" t="s">
        <v>257</v>
      </c>
      <c r="C219" s="127" t="s">
        <v>107</v>
      </c>
      <c r="D219" s="127">
        <v>0.01</v>
      </c>
      <c r="E219" s="283">
        <f>VLOOKUP(VATLIEU[[#This Row],[Danh mục vật liệu]],Table1[[TÊN VẬT TƯ]:[ĐƠN GIÁ
 (Chưa VAT)]],3,0)</f>
        <v>3600</v>
      </c>
      <c r="F219" s="287">
        <f t="shared" si="32"/>
        <v>36</v>
      </c>
      <c r="G219" s="259"/>
    </row>
    <row r="220" spans="1:7" ht="15.75" x14ac:dyDescent="0.25">
      <c r="A220" s="79" t="s">
        <v>89</v>
      </c>
      <c r="B220" s="48" t="s">
        <v>309</v>
      </c>
      <c r="C220" s="127" t="s">
        <v>107</v>
      </c>
      <c r="D220" s="127">
        <v>3.0000000000000001E-3</v>
      </c>
      <c r="E220" s="283">
        <f>VLOOKUP(VATLIEU[[#This Row],[Danh mục vật liệu]],Table1[[TÊN VẬT TƯ]:[ĐƠN GIÁ
 (Chưa VAT)]],3,0)</f>
        <v>30000</v>
      </c>
      <c r="F220" s="287">
        <f t="shared" si="32"/>
        <v>90</v>
      </c>
      <c r="G220" s="259"/>
    </row>
    <row r="221" spans="1:7" ht="15.75" x14ac:dyDescent="0.25">
      <c r="A221" s="79" t="s">
        <v>89</v>
      </c>
      <c r="B221" s="48" t="s">
        <v>310</v>
      </c>
      <c r="C221" s="127" t="s">
        <v>311</v>
      </c>
      <c r="D221" s="127">
        <v>0.04</v>
      </c>
      <c r="E221" s="283">
        <f>VLOOKUP(VATLIEU[[#This Row],[Danh mục vật liệu]],Table1[[TÊN VẬT TƯ]:[ĐƠN GIÁ
 (Chưa VAT)]],3,0)</f>
        <v>41667</v>
      </c>
      <c r="F221" s="287">
        <f t="shared" si="32"/>
        <v>1666.68</v>
      </c>
      <c r="G221" s="259"/>
    </row>
    <row r="222" spans="1:7" ht="15.75" x14ac:dyDescent="0.25">
      <c r="A222" s="79" t="s">
        <v>89</v>
      </c>
      <c r="B222" s="48" t="s">
        <v>312</v>
      </c>
      <c r="C222" s="127" t="s">
        <v>313</v>
      </c>
      <c r="D222" s="127">
        <v>2E-3</v>
      </c>
      <c r="E222" s="283">
        <f>VLOOKUP(VATLIEU[[#This Row],[Danh mục vật liệu]],Table1[[TÊN VẬT TƯ]:[ĐƠN GIÁ
 (Chưa VAT)]],3,0)</f>
        <v>25000</v>
      </c>
      <c r="F222" s="287">
        <f t="shared" si="32"/>
        <v>50</v>
      </c>
      <c r="G222" s="259"/>
    </row>
    <row r="223" spans="1:7" ht="15.75" x14ac:dyDescent="0.25">
      <c r="A223" s="79" t="s">
        <v>89</v>
      </c>
      <c r="B223" s="48" t="s">
        <v>314</v>
      </c>
      <c r="C223" s="127" t="s">
        <v>315</v>
      </c>
      <c r="D223" s="127">
        <v>0.05</v>
      </c>
      <c r="E223" s="283">
        <f>VLOOKUP(VATLIEU[[#This Row],[Danh mục vật liệu]],Table1[[TÊN VẬT TƯ]:[ĐƠN GIÁ
 (Chưa VAT)]],3,0)</f>
        <v>5000</v>
      </c>
      <c r="F223" s="287">
        <f t="shared" si="32"/>
        <v>250</v>
      </c>
      <c r="G223" s="259"/>
    </row>
    <row r="224" spans="1:7" ht="31.5" x14ac:dyDescent="0.25">
      <c r="A224" s="77" t="s">
        <v>156</v>
      </c>
      <c r="B224" s="251" t="s">
        <v>66</v>
      </c>
      <c r="C224" s="47" t="s">
        <v>538</v>
      </c>
      <c r="D224" s="47"/>
      <c r="E224" s="252"/>
      <c r="F224" s="281">
        <f>SUM(F225:F230)</f>
        <v>5366.027</v>
      </c>
      <c r="G224" s="259"/>
    </row>
    <row r="225" spans="1:7" ht="15.75" x14ac:dyDescent="0.25">
      <c r="A225" s="79" t="s">
        <v>89</v>
      </c>
      <c r="B225" s="48" t="s">
        <v>109</v>
      </c>
      <c r="C225" s="127" t="s">
        <v>107</v>
      </c>
      <c r="D225" s="127">
        <v>0.01</v>
      </c>
      <c r="E225" s="283">
        <f>VLOOKUP(VATLIEU[[#This Row],[Danh mục vật liệu]],Table1[[TÊN VẬT TƯ]:[ĐƠN GIÁ
 (Chưa VAT)]],3,0)</f>
        <v>4000</v>
      </c>
      <c r="F225" s="287">
        <f t="shared" ref="F225:F230" si="33">E225*D225</f>
        <v>40</v>
      </c>
      <c r="G225" s="259"/>
    </row>
    <row r="226" spans="1:7" ht="15.75" x14ac:dyDescent="0.25">
      <c r="A226" s="79" t="s">
        <v>89</v>
      </c>
      <c r="B226" s="48" t="s">
        <v>257</v>
      </c>
      <c r="C226" s="127" t="s">
        <v>107</v>
      </c>
      <c r="D226" s="127">
        <v>0.01</v>
      </c>
      <c r="E226" s="283">
        <f>VLOOKUP(VATLIEU[[#This Row],[Danh mục vật liệu]],Table1[[TÊN VẬT TƯ]:[ĐƠN GIÁ
 (Chưa VAT)]],3,0)</f>
        <v>3600</v>
      </c>
      <c r="F226" s="287">
        <f t="shared" si="33"/>
        <v>36</v>
      </c>
      <c r="G226" s="259"/>
    </row>
    <row r="227" spans="1:7" ht="15.75" x14ac:dyDescent="0.25">
      <c r="A227" s="79" t="s">
        <v>89</v>
      </c>
      <c r="B227" s="48" t="s">
        <v>309</v>
      </c>
      <c r="C227" s="127" t="s">
        <v>107</v>
      </c>
      <c r="D227" s="127">
        <v>3.0000000000000001E-3</v>
      </c>
      <c r="E227" s="283">
        <f>VLOOKUP(VATLIEU[[#This Row],[Danh mục vật liệu]],Table1[[TÊN VẬT TƯ]:[ĐƠN GIÁ
 (Chưa VAT)]],3,0)</f>
        <v>30000</v>
      </c>
      <c r="F227" s="287">
        <f t="shared" si="33"/>
        <v>90</v>
      </c>
      <c r="G227" s="259"/>
    </row>
    <row r="228" spans="1:7" ht="15.75" x14ac:dyDescent="0.25">
      <c r="A228" s="79" t="s">
        <v>89</v>
      </c>
      <c r="B228" s="48" t="s">
        <v>310</v>
      </c>
      <c r="C228" s="127" t="s">
        <v>311</v>
      </c>
      <c r="D228" s="127">
        <v>8.1000000000000003E-2</v>
      </c>
      <c r="E228" s="283">
        <f>VLOOKUP(VATLIEU[[#This Row],[Danh mục vật liệu]],Table1[[TÊN VẬT TƯ]:[ĐƠN GIÁ
 (Chưa VAT)]],3,0)</f>
        <v>41667</v>
      </c>
      <c r="F228" s="287">
        <f t="shared" si="33"/>
        <v>3375.027</v>
      </c>
      <c r="G228" s="259"/>
    </row>
    <row r="229" spans="1:7" ht="15.75" x14ac:dyDescent="0.25">
      <c r="A229" s="79" t="s">
        <v>89</v>
      </c>
      <c r="B229" s="48" t="s">
        <v>312</v>
      </c>
      <c r="C229" s="127" t="s">
        <v>313</v>
      </c>
      <c r="D229" s="127">
        <v>4.0000000000000001E-3</v>
      </c>
      <c r="E229" s="283">
        <f>VLOOKUP(VATLIEU[[#This Row],[Danh mục vật liệu]],Table1[[TÊN VẬT TƯ]:[ĐƠN GIÁ
 (Chưa VAT)]],3,0)</f>
        <v>25000</v>
      </c>
      <c r="F229" s="287">
        <f t="shared" si="33"/>
        <v>100</v>
      </c>
      <c r="G229" s="259"/>
    </row>
    <row r="230" spans="1:7" ht="15.75" x14ac:dyDescent="0.25">
      <c r="A230" s="79" t="s">
        <v>89</v>
      </c>
      <c r="B230" s="48" t="s">
        <v>314</v>
      </c>
      <c r="C230" s="127" t="s">
        <v>315</v>
      </c>
      <c r="D230" s="127">
        <v>0.34499999999999997</v>
      </c>
      <c r="E230" s="283">
        <f>VLOOKUP(VATLIEU[[#This Row],[Danh mục vật liệu]],Table1[[TÊN VẬT TƯ]:[ĐƠN GIÁ
 (Chưa VAT)]],3,0)</f>
        <v>5000</v>
      </c>
      <c r="F230" s="287">
        <f t="shared" si="33"/>
        <v>1724.9999999999998</v>
      </c>
      <c r="G230" s="259"/>
    </row>
    <row r="231" spans="1:7" ht="15.75" x14ac:dyDescent="0.25">
      <c r="A231" s="77" t="s">
        <v>157</v>
      </c>
      <c r="B231" s="251" t="s">
        <v>67</v>
      </c>
      <c r="C231" s="47"/>
      <c r="D231" s="47"/>
      <c r="E231" s="252"/>
      <c r="F231" s="281">
        <v>0</v>
      </c>
      <c r="G231" s="259" t="s">
        <v>628</v>
      </c>
    </row>
    <row r="232" spans="1:7" ht="31.5" x14ac:dyDescent="0.25">
      <c r="A232" s="77" t="s">
        <v>158</v>
      </c>
      <c r="B232" s="251" t="s">
        <v>68</v>
      </c>
      <c r="C232" s="47"/>
      <c r="D232" s="47"/>
      <c r="E232" s="252"/>
      <c r="F232" s="281">
        <v>0</v>
      </c>
      <c r="G232" s="259" t="s">
        <v>628</v>
      </c>
    </row>
    <row r="233" spans="1:7" ht="25.5" x14ac:dyDescent="0.25">
      <c r="A233" s="77" t="s">
        <v>159</v>
      </c>
      <c r="B233" s="251" t="s">
        <v>69</v>
      </c>
      <c r="C233" s="47" t="s">
        <v>291</v>
      </c>
      <c r="D233" s="47"/>
      <c r="E233" s="252"/>
      <c r="F233" s="281">
        <f>$F$183</f>
        <v>39381.800000000003</v>
      </c>
      <c r="G233" s="189" t="s">
        <v>328</v>
      </c>
    </row>
    <row r="234" spans="1:7" ht="15.75" x14ac:dyDescent="0.25">
      <c r="A234" s="202" t="s">
        <v>506</v>
      </c>
      <c r="B234" s="278" t="s">
        <v>507</v>
      </c>
      <c r="C234" s="231"/>
      <c r="D234" s="223"/>
      <c r="E234" s="332"/>
      <c r="F234" s="279">
        <f>SUM(F235:F240)</f>
        <v>45380.765600000006</v>
      </c>
      <c r="G234" s="233" t="s">
        <v>521</v>
      </c>
    </row>
    <row r="235" spans="1:7" ht="47.25" x14ac:dyDescent="0.25">
      <c r="A235" s="77" t="s">
        <v>154</v>
      </c>
      <c r="B235" s="251" t="s">
        <v>64</v>
      </c>
      <c r="C235" s="47"/>
      <c r="D235" s="47"/>
      <c r="E235" s="252"/>
      <c r="F235" s="281">
        <v>0</v>
      </c>
      <c r="G235" s="259" t="s">
        <v>628</v>
      </c>
    </row>
    <row r="236" spans="1:7" ht="15.75" x14ac:dyDescent="0.25">
      <c r="A236" s="77" t="s">
        <v>155</v>
      </c>
      <c r="B236" s="251" t="s">
        <v>65</v>
      </c>
      <c r="C236" s="47" t="s">
        <v>539</v>
      </c>
      <c r="D236" s="127"/>
      <c r="E236" s="283"/>
      <c r="F236" s="281">
        <f>$F$217*0.8</f>
        <v>1706.1440000000002</v>
      </c>
      <c r="G236" s="262"/>
    </row>
    <row r="237" spans="1:7" ht="31.5" x14ac:dyDescent="0.25">
      <c r="A237" s="77" t="s">
        <v>156</v>
      </c>
      <c r="B237" s="251" t="s">
        <v>66</v>
      </c>
      <c r="C237" s="47" t="s">
        <v>539</v>
      </c>
      <c r="D237" s="127"/>
      <c r="E237" s="283"/>
      <c r="F237" s="281">
        <f>$F$224*0.8</f>
        <v>4292.8216000000002</v>
      </c>
      <c r="G237" s="262"/>
    </row>
    <row r="238" spans="1:7" ht="15.75" x14ac:dyDescent="0.25">
      <c r="A238" s="77" t="s">
        <v>157</v>
      </c>
      <c r="B238" s="251" t="s">
        <v>67</v>
      </c>
      <c r="C238" s="47"/>
      <c r="D238" s="47"/>
      <c r="E238" s="252"/>
      <c r="F238" s="281">
        <v>0</v>
      </c>
      <c r="G238" s="259" t="s">
        <v>628</v>
      </c>
    </row>
    <row r="239" spans="1:7" ht="31.5" x14ac:dyDescent="0.25">
      <c r="A239" s="77" t="s">
        <v>158</v>
      </c>
      <c r="B239" s="251" t="s">
        <v>68</v>
      </c>
      <c r="C239" s="47"/>
      <c r="D239" s="47"/>
      <c r="E239" s="252"/>
      <c r="F239" s="281">
        <v>0</v>
      </c>
      <c r="G239" s="259" t="s">
        <v>628</v>
      </c>
    </row>
    <row r="240" spans="1:7" ht="25.5" x14ac:dyDescent="0.25">
      <c r="A240" s="77" t="s">
        <v>159</v>
      </c>
      <c r="B240" s="251" t="s">
        <v>69</v>
      </c>
      <c r="C240" s="47"/>
      <c r="D240" s="47"/>
      <c r="E240" s="252"/>
      <c r="F240" s="389">
        <f>$F$183</f>
        <v>39381.800000000003</v>
      </c>
      <c r="G240" s="189" t="s">
        <v>328</v>
      </c>
    </row>
    <row r="241" spans="1:7" ht="15.75" x14ac:dyDescent="0.25">
      <c r="A241" s="202" t="s">
        <v>509</v>
      </c>
      <c r="B241" s="278" t="s">
        <v>510</v>
      </c>
      <c r="C241" s="231"/>
      <c r="D241" s="223"/>
      <c r="E241" s="332"/>
      <c r="F241" s="279">
        <f>SUM(F242:F247)</f>
        <v>50629.860500000003</v>
      </c>
      <c r="G241" s="233" t="s">
        <v>522</v>
      </c>
    </row>
    <row r="242" spans="1:7" ht="47.25" x14ac:dyDescent="0.25">
      <c r="A242" s="77" t="s">
        <v>154</v>
      </c>
      <c r="B242" s="251" t="s">
        <v>64</v>
      </c>
      <c r="C242" s="47"/>
      <c r="D242" s="47"/>
      <c r="E242" s="252"/>
      <c r="F242" s="281">
        <v>0</v>
      </c>
      <c r="G242" s="259" t="s">
        <v>628</v>
      </c>
    </row>
    <row r="243" spans="1:7" ht="15.75" x14ac:dyDescent="0.25">
      <c r="A243" s="77" t="s">
        <v>155</v>
      </c>
      <c r="B243" s="251" t="s">
        <v>65</v>
      </c>
      <c r="C243" s="47" t="s">
        <v>540</v>
      </c>
      <c r="D243" s="127"/>
      <c r="E243" s="283"/>
      <c r="F243" s="281">
        <f>$F$217*1.5</f>
        <v>3199.0200000000004</v>
      </c>
      <c r="G243" s="262"/>
    </row>
    <row r="244" spans="1:7" ht="31.5" x14ac:dyDescent="0.25">
      <c r="A244" s="77" t="s">
        <v>156</v>
      </c>
      <c r="B244" s="251" t="s">
        <v>66</v>
      </c>
      <c r="C244" s="47" t="s">
        <v>540</v>
      </c>
      <c r="D244" s="127"/>
      <c r="E244" s="283"/>
      <c r="F244" s="281">
        <f>$F$224*1.5</f>
        <v>8049.0405000000001</v>
      </c>
      <c r="G244" s="262"/>
    </row>
    <row r="245" spans="1:7" ht="15.75" x14ac:dyDescent="0.25">
      <c r="A245" s="77" t="s">
        <v>157</v>
      </c>
      <c r="B245" s="251" t="s">
        <v>67</v>
      </c>
      <c r="C245" s="47"/>
      <c r="D245" s="47"/>
      <c r="E245" s="252"/>
      <c r="F245" s="281">
        <v>0</v>
      </c>
      <c r="G245" s="259" t="s">
        <v>628</v>
      </c>
    </row>
    <row r="246" spans="1:7" ht="31.5" x14ac:dyDescent="0.25">
      <c r="A246" s="77" t="s">
        <v>158</v>
      </c>
      <c r="B246" s="251" t="s">
        <v>68</v>
      </c>
      <c r="C246" s="47"/>
      <c r="D246" s="47"/>
      <c r="E246" s="252"/>
      <c r="F246" s="281">
        <v>0</v>
      </c>
      <c r="G246" s="259" t="s">
        <v>628</v>
      </c>
    </row>
    <row r="247" spans="1:7" ht="25.5" x14ac:dyDescent="0.25">
      <c r="A247" s="77" t="s">
        <v>159</v>
      </c>
      <c r="B247" s="251" t="s">
        <v>69</v>
      </c>
      <c r="C247" s="47"/>
      <c r="D247" s="47"/>
      <c r="E247" s="252"/>
      <c r="F247" s="389">
        <f>$F$183</f>
        <v>39381.800000000003</v>
      </c>
      <c r="G247" s="189" t="s">
        <v>328</v>
      </c>
    </row>
    <row r="248" spans="1:7" ht="15.75" x14ac:dyDescent="0.25">
      <c r="A248" s="202" t="s">
        <v>512</v>
      </c>
      <c r="B248" s="278" t="s">
        <v>513</v>
      </c>
      <c r="C248" s="231"/>
      <c r="D248" s="223"/>
      <c r="E248" s="332"/>
      <c r="F248" s="279">
        <f>SUM(F249:F254)</f>
        <v>58128.567500000005</v>
      </c>
      <c r="G248" s="233" t="s">
        <v>523</v>
      </c>
    </row>
    <row r="249" spans="1:7" ht="47.25" x14ac:dyDescent="0.25">
      <c r="A249" s="77" t="s">
        <v>154</v>
      </c>
      <c r="B249" s="251" t="s">
        <v>64</v>
      </c>
      <c r="C249" s="47"/>
      <c r="D249" s="47"/>
      <c r="E249" s="252"/>
      <c r="F249" s="281">
        <v>0</v>
      </c>
      <c r="G249" s="259" t="s">
        <v>628</v>
      </c>
    </row>
    <row r="250" spans="1:7" ht="15.75" x14ac:dyDescent="0.25">
      <c r="A250" s="77" t="s">
        <v>155</v>
      </c>
      <c r="B250" s="251" t="s">
        <v>65</v>
      </c>
      <c r="C250" s="47" t="s">
        <v>541</v>
      </c>
      <c r="D250" s="127"/>
      <c r="E250" s="283"/>
      <c r="F250" s="281">
        <f>$F$217*2.5</f>
        <v>5331.7000000000007</v>
      </c>
      <c r="G250" s="262"/>
    </row>
    <row r="251" spans="1:7" ht="31.5" x14ac:dyDescent="0.25">
      <c r="A251" s="77" t="s">
        <v>156</v>
      </c>
      <c r="B251" s="251" t="s">
        <v>66</v>
      </c>
      <c r="C251" s="47" t="s">
        <v>541</v>
      </c>
      <c r="D251" s="127"/>
      <c r="E251" s="283"/>
      <c r="F251" s="281">
        <f>$F$224*2.5</f>
        <v>13415.067500000001</v>
      </c>
      <c r="G251" s="262"/>
    </row>
    <row r="252" spans="1:7" ht="15.75" x14ac:dyDescent="0.25">
      <c r="A252" s="77" t="s">
        <v>157</v>
      </c>
      <c r="B252" s="251" t="s">
        <v>67</v>
      </c>
      <c r="C252" s="47"/>
      <c r="D252" s="47"/>
      <c r="E252" s="252"/>
      <c r="F252" s="281">
        <v>0</v>
      </c>
      <c r="G252" s="259" t="s">
        <v>628</v>
      </c>
    </row>
    <row r="253" spans="1:7" ht="31.5" x14ac:dyDescent="0.25">
      <c r="A253" s="77" t="s">
        <v>158</v>
      </c>
      <c r="B253" s="251" t="s">
        <v>68</v>
      </c>
      <c r="C253" s="47"/>
      <c r="D253" s="47"/>
      <c r="E253" s="252"/>
      <c r="F253" s="281">
        <v>0</v>
      </c>
      <c r="G253" s="259" t="s">
        <v>628</v>
      </c>
    </row>
    <row r="254" spans="1:7" ht="25.5" x14ac:dyDescent="0.25">
      <c r="A254" s="77" t="s">
        <v>159</v>
      </c>
      <c r="B254" s="251" t="s">
        <v>69</v>
      </c>
      <c r="C254" s="47"/>
      <c r="D254" s="47"/>
      <c r="E254" s="252"/>
      <c r="F254" s="389">
        <f>$F$183</f>
        <v>39381.800000000003</v>
      </c>
      <c r="G254" s="189" t="s">
        <v>328</v>
      </c>
    </row>
    <row r="255" spans="1:7" ht="15.75" x14ac:dyDescent="0.25">
      <c r="A255" s="202" t="s">
        <v>515</v>
      </c>
      <c r="B255" s="278" t="s">
        <v>516</v>
      </c>
      <c r="C255" s="231"/>
      <c r="D255" s="223"/>
      <c r="E255" s="332"/>
      <c r="F255" s="279">
        <f>SUM(F256:F261)</f>
        <v>76875.335000000006</v>
      </c>
      <c r="G255" s="233" t="s">
        <v>524</v>
      </c>
    </row>
    <row r="256" spans="1:7" ht="47.25" x14ac:dyDescent="0.25">
      <c r="A256" s="77" t="s">
        <v>154</v>
      </c>
      <c r="B256" s="251" t="s">
        <v>64</v>
      </c>
      <c r="C256" s="47"/>
      <c r="D256" s="47"/>
      <c r="E256" s="252"/>
      <c r="F256" s="281">
        <v>0</v>
      </c>
      <c r="G256" s="259" t="s">
        <v>628</v>
      </c>
    </row>
    <row r="257" spans="1:7" ht="15.75" x14ac:dyDescent="0.25">
      <c r="A257" s="77" t="s">
        <v>155</v>
      </c>
      <c r="B257" s="251" t="s">
        <v>65</v>
      </c>
      <c r="C257" s="47" t="s">
        <v>542</v>
      </c>
      <c r="D257" s="127"/>
      <c r="E257" s="283"/>
      <c r="F257" s="281">
        <f>$F$217*5</f>
        <v>10663.400000000001</v>
      </c>
      <c r="G257" s="262"/>
    </row>
    <row r="258" spans="1:7" ht="31.5" x14ac:dyDescent="0.25">
      <c r="A258" s="77" t="s">
        <v>156</v>
      </c>
      <c r="B258" s="251" t="s">
        <v>66</v>
      </c>
      <c r="C258" s="47" t="s">
        <v>542</v>
      </c>
      <c r="D258" s="127"/>
      <c r="E258" s="283"/>
      <c r="F258" s="281">
        <f>$F$224*5</f>
        <v>26830.135000000002</v>
      </c>
      <c r="G258" s="262"/>
    </row>
    <row r="259" spans="1:7" ht="15.75" x14ac:dyDescent="0.25">
      <c r="A259" s="77" t="s">
        <v>157</v>
      </c>
      <c r="B259" s="251" t="s">
        <v>67</v>
      </c>
      <c r="C259" s="47"/>
      <c r="D259" s="47"/>
      <c r="E259" s="252"/>
      <c r="F259" s="281">
        <v>0</v>
      </c>
      <c r="G259" s="259" t="s">
        <v>628</v>
      </c>
    </row>
    <row r="260" spans="1:7" ht="31.5" x14ac:dyDescent="0.25">
      <c r="A260" s="77" t="s">
        <v>158</v>
      </c>
      <c r="B260" s="251" t="s">
        <v>68</v>
      </c>
      <c r="C260" s="47"/>
      <c r="D260" s="47"/>
      <c r="E260" s="252"/>
      <c r="F260" s="281">
        <v>0</v>
      </c>
      <c r="G260" s="259" t="s">
        <v>628</v>
      </c>
    </row>
    <row r="261" spans="1:7" ht="25.5" x14ac:dyDescent="0.25">
      <c r="A261" s="77" t="s">
        <v>159</v>
      </c>
      <c r="B261" s="251" t="s">
        <v>69</v>
      </c>
      <c r="C261" s="47"/>
      <c r="D261" s="47"/>
      <c r="E261" s="252"/>
      <c r="F261" s="389">
        <f>$F$183</f>
        <v>39381.800000000003</v>
      </c>
      <c r="G261" s="189" t="s">
        <v>328</v>
      </c>
    </row>
    <row r="262" spans="1:7" ht="15.75" x14ac:dyDescent="0.25">
      <c r="A262" s="202" t="s">
        <v>518</v>
      </c>
      <c r="B262" s="278" t="s">
        <v>519</v>
      </c>
      <c r="C262" s="231"/>
      <c r="D262" s="223"/>
      <c r="E262" s="332"/>
      <c r="F262" s="279">
        <f>SUM(F263:F268)</f>
        <v>114368.87000000001</v>
      </c>
      <c r="G262" s="233" t="s">
        <v>525</v>
      </c>
    </row>
    <row r="263" spans="1:7" ht="47.25" x14ac:dyDescent="0.25">
      <c r="A263" s="77" t="s">
        <v>154</v>
      </c>
      <c r="B263" s="251" t="s">
        <v>64</v>
      </c>
      <c r="C263" s="47"/>
      <c r="D263" s="47"/>
      <c r="E263" s="252"/>
      <c r="F263" s="281">
        <v>0</v>
      </c>
      <c r="G263" s="259" t="s">
        <v>628</v>
      </c>
    </row>
    <row r="264" spans="1:7" ht="15.75" x14ac:dyDescent="0.25">
      <c r="A264" s="77" t="s">
        <v>155</v>
      </c>
      <c r="B264" s="251" t="s">
        <v>65</v>
      </c>
      <c r="C264" s="47" t="s">
        <v>543</v>
      </c>
      <c r="D264" s="127"/>
      <c r="E264" s="283"/>
      <c r="F264" s="281">
        <f>$F$217*10</f>
        <v>21326.800000000003</v>
      </c>
      <c r="G264" s="259"/>
    </row>
    <row r="265" spans="1:7" ht="31.5" x14ac:dyDescent="0.25">
      <c r="A265" s="77" t="s">
        <v>156</v>
      </c>
      <c r="B265" s="251" t="s">
        <v>66</v>
      </c>
      <c r="C265" s="47" t="s">
        <v>543</v>
      </c>
      <c r="D265" s="127"/>
      <c r="E265" s="283"/>
      <c r="F265" s="281">
        <f>$F$224*10</f>
        <v>53660.270000000004</v>
      </c>
      <c r="G265" s="259"/>
    </row>
    <row r="266" spans="1:7" ht="15.75" x14ac:dyDescent="0.25">
      <c r="A266" s="77" t="s">
        <v>157</v>
      </c>
      <c r="B266" s="251" t="s">
        <v>67</v>
      </c>
      <c r="C266" s="47"/>
      <c r="D266" s="47"/>
      <c r="E266" s="252"/>
      <c r="F266" s="281">
        <v>0</v>
      </c>
      <c r="G266" s="259" t="s">
        <v>628</v>
      </c>
    </row>
    <row r="267" spans="1:7" ht="31.5" x14ac:dyDescent="0.25">
      <c r="A267" s="77" t="s">
        <v>158</v>
      </c>
      <c r="B267" s="251" t="s">
        <v>68</v>
      </c>
      <c r="C267" s="47"/>
      <c r="D267" s="47"/>
      <c r="E267" s="252"/>
      <c r="F267" s="281">
        <v>0</v>
      </c>
      <c r="G267" s="259" t="s">
        <v>628</v>
      </c>
    </row>
    <row r="268" spans="1:7" ht="25.5" x14ac:dyDescent="0.25">
      <c r="A268" s="77" t="s">
        <v>159</v>
      </c>
      <c r="B268" s="251" t="s">
        <v>69</v>
      </c>
      <c r="C268" s="47"/>
      <c r="D268" s="47"/>
      <c r="E268" s="252"/>
      <c r="F268" s="389">
        <f>$F$183</f>
        <v>39381.800000000003</v>
      </c>
      <c r="G268" s="189" t="s">
        <v>328</v>
      </c>
    </row>
    <row r="269" spans="1:7" ht="15.75" x14ac:dyDescent="0.25">
      <c r="A269" s="78"/>
      <c r="B269" s="379" t="s">
        <v>615</v>
      </c>
      <c r="C269" s="44"/>
      <c r="D269" s="44"/>
      <c r="E269" s="148"/>
      <c r="F269" s="288"/>
      <c r="G269" s="390" t="s">
        <v>626</v>
      </c>
    </row>
    <row r="270" spans="1:7" ht="15.75" x14ac:dyDescent="0.25">
      <c r="A270" s="202" t="s">
        <v>504</v>
      </c>
      <c r="B270" s="278" t="s">
        <v>505</v>
      </c>
      <c r="C270" s="231"/>
      <c r="D270" s="231"/>
      <c r="E270" s="323"/>
      <c r="F270" s="279">
        <f>F271+F272+F273+F274+F275+F276</f>
        <v>54379.214000000007</v>
      </c>
      <c r="G270" s="330"/>
    </row>
    <row r="271" spans="1:7" ht="47.25" x14ac:dyDescent="0.25">
      <c r="A271" s="77" t="s">
        <v>154</v>
      </c>
      <c r="B271" s="251" t="s">
        <v>64</v>
      </c>
      <c r="C271" s="47"/>
      <c r="D271" s="47"/>
      <c r="E271" s="252"/>
      <c r="F271" s="281">
        <f>F216*2</f>
        <v>0</v>
      </c>
      <c r="G271" s="259" t="s">
        <v>628</v>
      </c>
    </row>
    <row r="272" spans="1:7" ht="15.75" x14ac:dyDescent="0.25">
      <c r="A272" s="77" t="s">
        <v>155</v>
      </c>
      <c r="B272" s="251" t="s">
        <v>65</v>
      </c>
      <c r="C272" s="47" t="s">
        <v>538</v>
      </c>
      <c r="D272" s="47"/>
      <c r="E272" s="252"/>
      <c r="F272" s="281">
        <f>F217*2</f>
        <v>4265.3600000000006</v>
      </c>
      <c r="G272" s="259"/>
    </row>
    <row r="273" spans="1:7" ht="31.5" x14ac:dyDescent="0.25">
      <c r="A273" s="77" t="s">
        <v>156</v>
      </c>
      <c r="B273" s="251" t="s">
        <v>66</v>
      </c>
      <c r="C273" s="47" t="s">
        <v>538</v>
      </c>
      <c r="D273" s="47"/>
      <c r="E273" s="252"/>
      <c r="F273" s="281">
        <f>F224*2</f>
        <v>10732.054</v>
      </c>
      <c r="G273" s="259"/>
    </row>
    <row r="274" spans="1:7" ht="15.75" x14ac:dyDescent="0.25">
      <c r="A274" s="77" t="s">
        <v>157</v>
      </c>
      <c r="B274" s="251" t="s">
        <v>67</v>
      </c>
      <c r="C274" s="47"/>
      <c r="D274" s="47"/>
      <c r="E274" s="252"/>
      <c r="F274" s="281">
        <f>F231*2</f>
        <v>0</v>
      </c>
      <c r="G274" s="259" t="s">
        <v>628</v>
      </c>
    </row>
    <row r="275" spans="1:7" ht="31.5" x14ac:dyDescent="0.25">
      <c r="A275" s="77" t="s">
        <v>158</v>
      </c>
      <c r="B275" s="251" t="s">
        <v>68</v>
      </c>
      <c r="C275" s="47"/>
      <c r="D275" s="47"/>
      <c r="E275" s="252"/>
      <c r="F275" s="281">
        <f t="shared" ref="F275" si="34">F232*2</f>
        <v>0</v>
      </c>
      <c r="G275" s="259" t="s">
        <v>628</v>
      </c>
    </row>
    <row r="276" spans="1:7" ht="25.5" x14ac:dyDescent="0.25">
      <c r="A276" s="77" t="s">
        <v>159</v>
      </c>
      <c r="B276" s="251" t="s">
        <v>69</v>
      </c>
      <c r="C276" s="47" t="s">
        <v>291</v>
      </c>
      <c r="D276" s="47"/>
      <c r="E276" s="252"/>
      <c r="F276" s="389">
        <f>$F$183</f>
        <v>39381.800000000003</v>
      </c>
      <c r="G276" s="189" t="s">
        <v>328</v>
      </c>
    </row>
    <row r="277" spans="1:7" ht="15.75" x14ac:dyDescent="0.25">
      <c r="A277" s="202" t="s">
        <v>506</v>
      </c>
      <c r="B277" s="278" t="s">
        <v>507</v>
      </c>
      <c r="C277" s="231"/>
      <c r="D277" s="223"/>
      <c r="E277" s="332"/>
      <c r="F277" s="279">
        <f>SUM(F278:F283)</f>
        <v>51379.731200000002</v>
      </c>
      <c r="G277" s="233" t="s">
        <v>521</v>
      </c>
    </row>
    <row r="278" spans="1:7" ht="47.25" x14ac:dyDescent="0.25">
      <c r="A278" s="77" t="s">
        <v>154</v>
      </c>
      <c r="B278" s="251" t="s">
        <v>64</v>
      </c>
      <c r="C278" s="47"/>
      <c r="D278" s="47"/>
      <c r="E278" s="252"/>
      <c r="F278" s="281">
        <f>F235*2</f>
        <v>0</v>
      </c>
      <c r="G278" s="259" t="s">
        <v>628</v>
      </c>
    </row>
    <row r="279" spans="1:7" ht="15.75" x14ac:dyDescent="0.25">
      <c r="A279" s="77" t="s">
        <v>155</v>
      </c>
      <c r="B279" s="251" t="s">
        <v>65</v>
      </c>
      <c r="C279" s="47" t="s">
        <v>539</v>
      </c>
      <c r="D279" s="127"/>
      <c r="E279" s="283"/>
      <c r="F279" s="281">
        <f t="shared" ref="F279:F282" si="35">F236*2</f>
        <v>3412.2880000000005</v>
      </c>
      <c r="G279" s="262"/>
    </row>
    <row r="280" spans="1:7" ht="31.5" x14ac:dyDescent="0.25">
      <c r="A280" s="77" t="s">
        <v>156</v>
      </c>
      <c r="B280" s="251" t="s">
        <v>66</v>
      </c>
      <c r="C280" s="47" t="s">
        <v>539</v>
      </c>
      <c r="D280" s="127"/>
      <c r="E280" s="283"/>
      <c r="F280" s="281">
        <f t="shared" si="35"/>
        <v>8585.6432000000004</v>
      </c>
      <c r="G280" s="262"/>
    </row>
    <row r="281" spans="1:7" ht="15.75" x14ac:dyDescent="0.25">
      <c r="A281" s="77" t="s">
        <v>157</v>
      </c>
      <c r="B281" s="251" t="s">
        <v>67</v>
      </c>
      <c r="C281" s="47"/>
      <c r="D281" s="47"/>
      <c r="E281" s="252"/>
      <c r="F281" s="281">
        <f t="shared" si="35"/>
        <v>0</v>
      </c>
      <c r="G281" s="259" t="s">
        <v>628</v>
      </c>
    </row>
    <row r="282" spans="1:7" ht="31.5" x14ac:dyDescent="0.25">
      <c r="A282" s="77" t="s">
        <v>158</v>
      </c>
      <c r="B282" s="251" t="s">
        <v>68</v>
      </c>
      <c r="C282" s="47"/>
      <c r="D282" s="47"/>
      <c r="E282" s="252"/>
      <c r="F282" s="281">
        <f t="shared" si="35"/>
        <v>0</v>
      </c>
      <c r="G282" s="259" t="s">
        <v>628</v>
      </c>
    </row>
    <row r="283" spans="1:7" ht="25.5" x14ac:dyDescent="0.25">
      <c r="A283" s="77" t="s">
        <v>159</v>
      </c>
      <c r="B283" s="251" t="s">
        <v>69</v>
      </c>
      <c r="C283" s="47"/>
      <c r="D283" s="47"/>
      <c r="E283" s="252"/>
      <c r="F283" s="389">
        <f>$F$183</f>
        <v>39381.800000000003</v>
      </c>
      <c r="G283" s="189" t="s">
        <v>328</v>
      </c>
    </row>
    <row r="284" spans="1:7" ht="15.75" x14ac:dyDescent="0.25">
      <c r="A284" s="202" t="s">
        <v>509</v>
      </c>
      <c r="B284" s="278" t="s">
        <v>510</v>
      </c>
      <c r="C284" s="231"/>
      <c r="D284" s="223"/>
      <c r="E284" s="332"/>
      <c r="F284" s="279">
        <f>SUM(F285:F290)</f>
        <v>61877.921000000002</v>
      </c>
      <c r="G284" s="233" t="s">
        <v>522</v>
      </c>
    </row>
    <row r="285" spans="1:7" ht="47.25" x14ac:dyDescent="0.25">
      <c r="A285" s="77" t="s">
        <v>154</v>
      </c>
      <c r="B285" s="251" t="s">
        <v>64</v>
      </c>
      <c r="C285" s="47"/>
      <c r="D285" s="47"/>
      <c r="E285" s="252"/>
      <c r="F285" s="281">
        <f t="shared" ref="F285:F289" si="36">F242*2</f>
        <v>0</v>
      </c>
      <c r="G285" s="259" t="s">
        <v>628</v>
      </c>
    </row>
    <row r="286" spans="1:7" ht="15.75" x14ac:dyDescent="0.25">
      <c r="A286" s="77" t="s">
        <v>155</v>
      </c>
      <c r="B286" s="251" t="s">
        <v>65</v>
      </c>
      <c r="C286" s="47" t="s">
        <v>540</v>
      </c>
      <c r="D286" s="127"/>
      <c r="E286" s="283"/>
      <c r="F286" s="281">
        <f t="shared" si="36"/>
        <v>6398.0400000000009</v>
      </c>
      <c r="G286" s="262"/>
    </row>
    <row r="287" spans="1:7" ht="31.5" x14ac:dyDescent="0.25">
      <c r="A287" s="77" t="s">
        <v>156</v>
      </c>
      <c r="B287" s="251" t="s">
        <v>66</v>
      </c>
      <c r="C287" s="47" t="s">
        <v>540</v>
      </c>
      <c r="D287" s="127"/>
      <c r="E287" s="283"/>
      <c r="F287" s="281">
        <f t="shared" si="36"/>
        <v>16098.081</v>
      </c>
      <c r="G287" s="262"/>
    </row>
    <row r="288" spans="1:7" ht="15.75" x14ac:dyDescent="0.25">
      <c r="A288" s="77" t="s">
        <v>157</v>
      </c>
      <c r="B288" s="251" t="s">
        <v>67</v>
      </c>
      <c r="C288" s="47"/>
      <c r="D288" s="47"/>
      <c r="E288" s="252"/>
      <c r="F288" s="281">
        <f t="shared" si="36"/>
        <v>0</v>
      </c>
      <c r="G288" s="259" t="s">
        <v>628</v>
      </c>
    </row>
    <row r="289" spans="1:7" ht="31.5" x14ac:dyDescent="0.25">
      <c r="A289" s="77" t="s">
        <v>158</v>
      </c>
      <c r="B289" s="251" t="s">
        <v>68</v>
      </c>
      <c r="C289" s="47"/>
      <c r="D289" s="47"/>
      <c r="E289" s="252"/>
      <c r="F289" s="281">
        <f t="shared" si="36"/>
        <v>0</v>
      </c>
      <c r="G289" s="259" t="s">
        <v>628</v>
      </c>
    </row>
    <row r="290" spans="1:7" ht="25.5" x14ac:dyDescent="0.25">
      <c r="A290" s="77" t="s">
        <v>159</v>
      </c>
      <c r="B290" s="251" t="s">
        <v>69</v>
      </c>
      <c r="C290" s="47"/>
      <c r="D290" s="47"/>
      <c r="E290" s="252"/>
      <c r="F290" s="389">
        <f>$F$183</f>
        <v>39381.800000000003</v>
      </c>
      <c r="G290" s="189" t="s">
        <v>328</v>
      </c>
    </row>
    <row r="291" spans="1:7" ht="15.75" x14ac:dyDescent="0.25">
      <c r="A291" s="202" t="s">
        <v>512</v>
      </c>
      <c r="B291" s="278" t="s">
        <v>513</v>
      </c>
      <c r="C291" s="231"/>
      <c r="D291" s="223"/>
      <c r="E291" s="332"/>
      <c r="F291" s="279">
        <f>SUM(F292:F297)</f>
        <v>76875.335000000006</v>
      </c>
      <c r="G291" s="233" t="s">
        <v>523</v>
      </c>
    </row>
    <row r="292" spans="1:7" ht="47.25" x14ac:dyDescent="0.25">
      <c r="A292" s="77" t="s">
        <v>154</v>
      </c>
      <c r="B292" s="251" t="s">
        <v>64</v>
      </c>
      <c r="C292" s="47"/>
      <c r="D292" s="47"/>
      <c r="E292" s="252"/>
      <c r="F292" s="281">
        <f t="shared" ref="F292:F296" si="37">F249*2</f>
        <v>0</v>
      </c>
      <c r="G292" s="259" t="s">
        <v>628</v>
      </c>
    </row>
    <row r="293" spans="1:7" ht="15.75" x14ac:dyDescent="0.25">
      <c r="A293" s="77" t="s">
        <v>155</v>
      </c>
      <c r="B293" s="251" t="s">
        <v>65</v>
      </c>
      <c r="C293" s="47" t="s">
        <v>541</v>
      </c>
      <c r="D293" s="127"/>
      <c r="E293" s="283"/>
      <c r="F293" s="281">
        <f t="shared" si="37"/>
        <v>10663.400000000001</v>
      </c>
      <c r="G293" s="262"/>
    </row>
    <row r="294" spans="1:7" ht="31.5" x14ac:dyDescent="0.25">
      <c r="A294" s="77" t="s">
        <v>156</v>
      </c>
      <c r="B294" s="251" t="s">
        <v>66</v>
      </c>
      <c r="C294" s="47" t="s">
        <v>541</v>
      </c>
      <c r="D294" s="127"/>
      <c r="E294" s="283"/>
      <c r="F294" s="281">
        <f t="shared" si="37"/>
        <v>26830.135000000002</v>
      </c>
      <c r="G294" s="262"/>
    </row>
    <row r="295" spans="1:7" ht="15.75" x14ac:dyDescent="0.25">
      <c r="A295" s="77" t="s">
        <v>157</v>
      </c>
      <c r="B295" s="251" t="s">
        <v>67</v>
      </c>
      <c r="C295" s="47"/>
      <c r="D295" s="47"/>
      <c r="E295" s="252"/>
      <c r="F295" s="281">
        <f t="shared" si="37"/>
        <v>0</v>
      </c>
      <c r="G295" s="259" t="s">
        <v>628</v>
      </c>
    </row>
    <row r="296" spans="1:7" ht="31.5" x14ac:dyDescent="0.25">
      <c r="A296" s="77" t="s">
        <v>158</v>
      </c>
      <c r="B296" s="251" t="s">
        <v>68</v>
      </c>
      <c r="C296" s="47"/>
      <c r="D296" s="47"/>
      <c r="E296" s="252"/>
      <c r="F296" s="281">
        <f t="shared" si="37"/>
        <v>0</v>
      </c>
      <c r="G296" s="259" t="s">
        <v>628</v>
      </c>
    </row>
    <row r="297" spans="1:7" ht="25.5" x14ac:dyDescent="0.25">
      <c r="A297" s="77" t="s">
        <v>159</v>
      </c>
      <c r="B297" s="251" t="s">
        <v>69</v>
      </c>
      <c r="C297" s="47"/>
      <c r="D297" s="47"/>
      <c r="E297" s="252"/>
      <c r="F297" s="389">
        <f>$F$183</f>
        <v>39381.800000000003</v>
      </c>
      <c r="G297" s="189" t="s">
        <v>328</v>
      </c>
    </row>
    <row r="298" spans="1:7" ht="15.75" x14ac:dyDescent="0.25">
      <c r="A298" s="202" t="s">
        <v>515</v>
      </c>
      <c r="B298" s="278" t="s">
        <v>516</v>
      </c>
      <c r="C298" s="231"/>
      <c r="D298" s="223"/>
      <c r="E298" s="332"/>
      <c r="F298" s="279">
        <f>SUM(F299:F304)</f>
        <v>114368.87000000001</v>
      </c>
      <c r="G298" s="233" t="s">
        <v>524</v>
      </c>
    </row>
    <row r="299" spans="1:7" ht="47.25" x14ac:dyDescent="0.25">
      <c r="A299" s="77" t="s">
        <v>154</v>
      </c>
      <c r="B299" s="251" t="s">
        <v>64</v>
      </c>
      <c r="C299" s="47"/>
      <c r="D299" s="47"/>
      <c r="E299" s="252"/>
      <c r="F299" s="281">
        <f t="shared" ref="F299:F303" si="38">F256*2</f>
        <v>0</v>
      </c>
      <c r="G299" s="259" t="s">
        <v>628</v>
      </c>
    </row>
    <row r="300" spans="1:7" ht="15.75" x14ac:dyDescent="0.25">
      <c r="A300" s="77" t="s">
        <v>155</v>
      </c>
      <c r="B300" s="251" t="s">
        <v>65</v>
      </c>
      <c r="C300" s="47" t="s">
        <v>542</v>
      </c>
      <c r="D300" s="127"/>
      <c r="E300" s="283"/>
      <c r="F300" s="281">
        <f t="shared" si="38"/>
        <v>21326.800000000003</v>
      </c>
      <c r="G300" s="262"/>
    </row>
    <row r="301" spans="1:7" ht="31.5" x14ac:dyDescent="0.25">
      <c r="A301" s="77" t="s">
        <v>156</v>
      </c>
      <c r="B301" s="251" t="s">
        <v>66</v>
      </c>
      <c r="C301" s="47" t="s">
        <v>542</v>
      </c>
      <c r="D301" s="127"/>
      <c r="E301" s="283"/>
      <c r="F301" s="281">
        <f t="shared" si="38"/>
        <v>53660.270000000004</v>
      </c>
      <c r="G301" s="262"/>
    </row>
    <row r="302" spans="1:7" ht="15.75" x14ac:dyDescent="0.25">
      <c r="A302" s="77" t="s">
        <v>157</v>
      </c>
      <c r="B302" s="251" t="s">
        <v>67</v>
      </c>
      <c r="C302" s="47"/>
      <c r="D302" s="47"/>
      <c r="E302" s="252"/>
      <c r="F302" s="281">
        <f t="shared" si="38"/>
        <v>0</v>
      </c>
      <c r="G302" s="259" t="s">
        <v>628</v>
      </c>
    </row>
    <row r="303" spans="1:7" ht="31.5" x14ac:dyDescent="0.25">
      <c r="A303" s="77" t="s">
        <v>158</v>
      </c>
      <c r="B303" s="251" t="s">
        <v>68</v>
      </c>
      <c r="C303" s="47"/>
      <c r="D303" s="47"/>
      <c r="E303" s="252"/>
      <c r="F303" s="281">
        <f t="shared" si="38"/>
        <v>0</v>
      </c>
      <c r="G303" s="259" t="s">
        <v>628</v>
      </c>
    </row>
    <row r="304" spans="1:7" ht="25.5" x14ac:dyDescent="0.25">
      <c r="A304" s="77" t="s">
        <v>159</v>
      </c>
      <c r="B304" s="251" t="s">
        <v>69</v>
      </c>
      <c r="C304" s="47"/>
      <c r="D304" s="47"/>
      <c r="E304" s="252"/>
      <c r="F304" s="389">
        <f>$F$183</f>
        <v>39381.800000000003</v>
      </c>
      <c r="G304" s="189" t="s">
        <v>328</v>
      </c>
    </row>
    <row r="305" spans="1:7" ht="15.75" x14ac:dyDescent="0.25">
      <c r="A305" s="202" t="s">
        <v>518</v>
      </c>
      <c r="B305" s="278" t="s">
        <v>519</v>
      </c>
      <c r="C305" s="231"/>
      <c r="D305" s="223"/>
      <c r="E305" s="332"/>
      <c r="F305" s="279">
        <f>SUM(F306:F311)</f>
        <v>189355.94</v>
      </c>
      <c r="G305" s="233" t="s">
        <v>525</v>
      </c>
    </row>
    <row r="306" spans="1:7" ht="47.25" x14ac:dyDescent="0.25">
      <c r="A306" s="77" t="s">
        <v>154</v>
      </c>
      <c r="B306" s="251" t="s">
        <v>64</v>
      </c>
      <c r="C306" s="47"/>
      <c r="D306" s="47"/>
      <c r="E306" s="252"/>
      <c r="F306" s="281">
        <f t="shared" ref="F306:F310" si="39">F263*2</f>
        <v>0</v>
      </c>
      <c r="G306" s="259" t="s">
        <v>628</v>
      </c>
    </row>
    <row r="307" spans="1:7" ht="15.75" x14ac:dyDescent="0.25">
      <c r="A307" s="77" t="s">
        <v>155</v>
      </c>
      <c r="B307" s="251" t="s">
        <v>65</v>
      </c>
      <c r="C307" s="47" t="s">
        <v>543</v>
      </c>
      <c r="D307" s="127"/>
      <c r="E307" s="283"/>
      <c r="F307" s="281">
        <f t="shared" si="39"/>
        <v>42653.600000000006</v>
      </c>
      <c r="G307" s="259"/>
    </row>
    <row r="308" spans="1:7" ht="31.5" x14ac:dyDescent="0.25">
      <c r="A308" s="77" t="s">
        <v>156</v>
      </c>
      <c r="B308" s="251" t="s">
        <v>66</v>
      </c>
      <c r="C308" s="47" t="s">
        <v>543</v>
      </c>
      <c r="D308" s="127"/>
      <c r="E308" s="283"/>
      <c r="F308" s="281">
        <f t="shared" si="39"/>
        <v>107320.54000000001</v>
      </c>
      <c r="G308" s="259"/>
    </row>
    <row r="309" spans="1:7" ht="15.75" x14ac:dyDescent="0.25">
      <c r="A309" s="77" t="s">
        <v>157</v>
      </c>
      <c r="B309" s="251" t="s">
        <v>67</v>
      </c>
      <c r="C309" s="47"/>
      <c r="D309" s="47"/>
      <c r="E309" s="252"/>
      <c r="F309" s="281">
        <f t="shared" si="39"/>
        <v>0</v>
      </c>
      <c r="G309" s="259" t="s">
        <v>628</v>
      </c>
    </row>
    <row r="310" spans="1:7" ht="31.5" x14ac:dyDescent="0.25">
      <c r="A310" s="77" t="s">
        <v>158</v>
      </c>
      <c r="B310" s="251" t="s">
        <v>68</v>
      </c>
      <c r="C310" s="47"/>
      <c r="D310" s="47"/>
      <c r="E310" s="252"/>
      <c r="F310" s="281">
        <f t="shared" si="39"/>
        <v>0</v>
      </c>
      <c r="G310" s="259" t="s">
        <v>628</v>
      </c>
    </row>
    <row r="311" spans="1:7" ht="25.5" x14ac:dyDescent="0.25">
      <c r="A311" s="77" t="s">
        <v>159</v>
      </c>
      <c r="B311" s="251" t="s">
        <v>69</v>
      </c>
      <c r="C311" s="47"/>
      <c r="D311" s="47"/>
      <c r="E311" s="252"/>
      <c r="F311" s="389">
        <f>$F$183</f>
        <v>39381.800000000003</v>
      </c>
      <c r="G311" s="189" t="s">
        <v>328</v>
      </c>
    </row>
    <row r="312" spans="1:7" ht="15.75" x14ac:dyDescent="0.25">
      <c r="A312" s="78" t="s">
        <v>168</v>
      </c>
      <c r="B312" s="148" t="s">
        <v>70</v>
      </c>
      <c r="C312" s="44"/>
      <c r="D312" s="44"/>
      <c r="E312" s="148"/>
      <c r="F312" s="288">
        <f>F313+F317+F318+F319+F322+F323</f>
        <v>53469.750968999993</v>
      </c>
      <c r="G312" s="282"/>
    </row>
    <row r="313" spans="1:7" ht="31.5" x14ac:dyDescent="0.25">
      <c r="A313" s="77" t="s">
        <v>162</v>
      </c>
      <c r="B313" s="251" t="s">
        <v>71</v>
      </c>
      <c r="C313" s="47" t="s">
        <v>535</v>
      </c>
      <c r="D313" s="47"/>
      <c r="E313" s="252"/>
      <c r="F313" s="281">
        <f>SUM(F314:F316)</f>
        <v>51521.806799999998</v>
      </c>
      <c r="G313" s="259" t="s">
        <v>320</v>
      </c>
    </row>
    <row r="314" spans="1:7" ht="15.75" x14ac:dyDescent="0.25">
      <c r="A314" s="79" t="s">
        <v>89</v>
      </c>
      <c r="B314" s="48" t="s">
        <v>99</v>
      </c>
      <c r="C314" s="127" t="s">
        <v>100</v>
      </c>
      <c r="D314" s="127">
        <v>6.2600000000000003E-2</v>
      </c>
      <c r="E314" s="283">
        <f>VLOOKUP(VATLIEU[[#This Row],[Danh mục vật liệu]],Table1[[TÊN VẬT TƯ]:[ĐƠN GIÁ
 (Chưa VAT)]],3,0)</f>
        <v>81818</v>
      </c>
      <c r="F314" s="287">
        <f t="shared" ref="F314:F316" si="40">E314*D314</f>
        <v>5121.8068000000003</v>
      </c>
      <c r="G314" s="259"/>
    </row>
    <row r="315" spans="1:7" ht="15.75" x14ac:dyDescent="0.25">
      <c r="A315" s="79" t="s">
        <v>89</v>
      </c>
      <c r="B315" s="48" t="s">
        <v>243</v>
      </c>
      <c r="C315" s="127" t="s">
        <v>104</v>
      </c>
      <c r="D315" s="127">
        <v>2.9000000000000001E-2</v>
      </c>
      <c r="E315" s="283">
        <f>VLOOKUP(VATLIEU[[#This Row],[Danh mục vật liệu]],Table1[[TÊN VẬT TƯ]:[ĐƠN GIÁ
 (Chưa VAT)]],3,0)</f>
        <v>1560000</v>
      </c>
      <c r="F315" s="287">
        <f t="shared" si="40"/>
        <v>45240</v>
      </c>
      <c r="G315" s="259"/>
    </row>
    <row r="316" spans="1:7" ht="15.75" x14ac:dyDescent="0.25">
      <c r="A316" s="79" t="s">
        <v>89</v>
      </c>
      <c r="B316" s="48" t="s">
        <v>109</v>
      </c>
      <c r="C316" s="127" t="s">
        <v>107</v>
      </c>
      <c r="D316" s="127">
        <v>0.28999999999999998</v>
      </c>
      <c r="E316" s="283">
        <f>VLOOKUP(VATLIEU[[#This Row],[Danh mục vật liệu]],Table1[[TÊN VẬT TƯ]:[ĐƠN GIÁ
 (Chưa VAT)]],3,0)</f>
        <v>4000</v>
      </c>
      <c r="F316" s="287">
        <f t="shared" si="40"/>
        <v>1160</v>
      </c>
      <c r="G316" s="259"/>
    </row>
    <row r="317" spans="1:7" ht="38.25" x14ac:dyDescent="0.25">
      <c r="A317" s="77" t="s">
        <v>163</v>
      </c>
      <c r="B317" s="251" t="s">
        <v>72</v>
      </c>
      <c r="C317" s="47"/>
      <c r="D317" s="47"/>
      <c r="E317" s="252"/>
      <c r="F317" s="281">
        <v>0</v>
      </c>
      <c r="G317" s="189" t="s">
        <v>531</v>
      </c>
    </row>
    <row r="318" spans="1:7" ht="15.75" x14ac:dyDescent="0.25">
      <c r="A318" s="77" t="s">
        <v>164</v>
      </c>
      <c r="B318" s="251" t="s">
        <v>73</v>
      </c>
      <c r="C318" s="47"/>
      <c r="D318" s="47"/>
      <c r="E318" s="252"/>
      <c r="F318" s="281">
        <v>0</v>
      </c>
      <c r="G318" s="259" t="s">
        <v>54</v>
      </c>
    </row>
    <row r="319" spans="1:7" ht="38.25" x14ac:dyDescent="0.2">
      <c r="A319" s="77" t="s">
        <v>165</v>
      </c>
      <c r="B319" s="251" t="s">
        <v>74</v>
      </c>
      <c r="C319" s="47"/>
      <c r="D319" s="47"/>
      <c r="E319" s="252"/>
      <c r="F319" s="280">
        <f>F320+F321</f>
        <v>8.9769000000000002E-2</v>
      </c>
      <c r="G319" s="195" t="s">
        <v>317</v>
      </c>
    </row>
    <row r="320" spans="1:7" ht="15.75" x14ac:dyDescent="0.2">
      <c r="A320" s="79" t="s">
        <v>574</v>
      </c>
      <c r="B320" s="48" t="s">
        <v>16</v>
      </c>
      <c r="C320" s="127" t="s">
        <v>322</v>
      </c>
      <c r="D320" s="127"/>
      <c r="E320" s="225"/>
      <c r="F320" s="284">
        <f>F10</f>
        <v>8.9769000000000002E-2</v>
      </c>
      <c r="G320" s="195"/>
    </row>
    <row r="321" spans="1:7" ht="38.25" x14ac:dyDescent="0.25">
      <c r="A321" s="79" t="s">
        <v>575</v>
      </c>
      <c r="B321" s="48" t="s">
        <v>17</v>
      </c>
      <c r="C321" s="127"/>
      <c r="D321" s="127"/>
      <c r="E321" s="225"/>
      <c r="F321" s="287">
        <f>F18</f>
        <v>0</v>
      </c>
      <c r="G321" s="265" t="s">
        <v>530</v>
      </c>
    </row>
    <row r="322" spans="1:7" ht="38.25" x14ac:dyDescent="0.25">
      <c r="A322" s="77" t="s">
        <v>166</v>
      </c>
      <c r="B322" s="251" t="s">
        <v>75</v>
      </c>
      <c r="C322" s="47"/>
      <c r="D322" s="47"/>
      <c r="E322" s="252"/>
      <c r="F322" s="281">
        <v>0</v>
      </c>
      <c r="G322" s="189" t="s">
        <v>531</v>
      </c>
    </row>
    <row r="323" spans="1:7" ht="31.5" x14ac:dyDescent="0.25">
      <c r="A323" s="77" t="s">
        <v>167</v>
      </c>
      <c r="B323" s="251" t="s">
        <v>76</v>
      </c>
      <c r="C323" s="47" t="s">
        <v>535</v>
      </c>
      <c r="D323" s="47"/>
      <c r="E323" s="252"/>
      <c r="F323" s="281">
        <f>SUM(F324:F327)</f>
        <v>1947.8543999999999</v>
      </c>
      <c r="G323" s="259" t="s">
        <v>320</v>
      </c>
    </row>
    <row r="324" spans="1:7" ht="15.75" x14ac:dyDescent="0.25">
      <c r="A324" s="79" t="s">
        <v>89</v>
      </c>
      <c r="B324" s="48" t="s">
        <v>99</v>
      </c>
      <c r="C324" s="127" t="s">
        <v>100</v>
      </c>
      <c r="D324" s="127">
        <v>8.0000000000000004E-4</v>
      </c>
      <c r="E324" s="283">
        <f>VLOOKUP(VATLIEU[[#This Row],[Danh mục vật liệu]],Table1[[TÊN VẬT TƯ]:[ĐƠN GIÁ
 (Chưa VAT)]],3,0)</f>
        <v>81818</v>
      </c>
      <c r="F324" s="287">
        <f t="shared" ref="F324:F327" si="41">E324*D324</f>
        <v>65.454400000000007</v>
      </c>
      <c r="G324" s="259"/>
    </row>
    <row r="325" spans="1:7" ht="15.75" x14ac:dyDescent="0.25">
      <c r="A325" s="79" t="s">
        <v>89</v>
      </c>
      <c r="B325" s="48" t="s">
        <v>243</v>
      </c>
      <c r="C325" s="127" t="s">
        <v>104</v>
      </c>
      <c r="D325" s="127">
        <v>5.9999999999999995E-4</v>
      </c>
      <c r="E325" s="283">
        <f>VLOOKUP(VATLIEU[[#This Row],[Danh mục vật liệu]],Table1[[TÊN VẬT TƯ]:[ĐƠN GIÁ
 (Chưa VAT)]],3,0)</f>
        <v>1560000</v>
      </c>
      <c r="F325" s="287">
        <f t="shared" si="41"/>
        <v>935.99999999999989</v>
      </c>
      <c r="G325" s="259"/>
    </row>
    <row r="326" spans="1:7" ht="15.75" x14ac:dyDescent="0.25">
      <c r="A326" s="79" t="s">
        <v>89</v>
      </c>
      <c r="B326" s="48" t="s">
        <v>106</v>
      </c>
      <c r="C326" s="127" t="s">
        <v>107</v>
      </c>
      <c r="D326" s="127">
        <v>3.6799999999999999E-2</v>
      </c>
      <c r="E326" s="283">
        <f>VLOOKUP(VATLIEU[[#This Row],[Danh mục vật liệu]],Table1[[TÊN VẬT TƯ]:[ĐƠN GIÁ
 (Chưa VAT)]],3,0)</f>
        <v>25000</v>
      </c>
      <c r="F326" s="287">
        <f t="shared" si="41"/>
        <v>920</v>
      </c>
      <c r="G326" s="259"/>
    </row>
    <row r="327" spans="1:7" ht="15.75" x14ac:dyDescent="0.25">
      <c r="A327" s="79" t="s">
        <v>89</v>
      </c>
      <c r="B327" s="48" t="s">
        <v>544</v>
      </c>
      <c r="C327" s="127" t="s">
        <v>545</v>
      </c>
      <c r="D327" s="127">
        <v>8.0000000000000004E-4</v>
      </c>
      <c r="E327" s="283">
        <f>VLOOKUP(VATLIEU[[#This Row],[Danh mục vật liệu]],Table1[[TÊN VẬT TƯ]:[ĐƠN GIÁ
 (Chưa VAT)]],3,0)</f>
        <v>33000</v>
      </c>
      <c r="F327" s="287">
        <f t="shared" si="41"/>
        <v>26.400000000000002</v>
      </c>
      <c r="G327" s="259"/>
    </row>
    <row r="328" spans="1:7" ht="15.75" x14ac:dyDescent="0.25">
      <c r="A328" s="78" t="s">
        <v>173</v>
      </c>
      <c r="B328" s="148" t="s">
        <v>77</v>
      </c>
      <c r="C328" s="44"/>
      <c r="D328" s="44"/>
      <c r="E328" s="148"/>
      <c r="F328" s="288"/>
      <c r="G328" s="266"/>
    </row>
    <row r="329" spans="1:7" ht="15.75" x14ac:dyDescent="0.25">
      <c r="A329" s="78"/>
      <c r="B329" s="278" t="s">
        <v>500</v>
      </c>
      <c r="C329" s="44"/>
      <c r="D329" s="44"/>
      <c r="E329" s="148"/>
      <c r="F329" s="279">
        <f>SUM(F330:F333)</f>
        <v>39381.800000000003</v>
      </c>
      <c r="G329" s="282"/>
    </row>
    <row r="330" spans="1:7" ht="15.75" x14ac:dyDescent="0.25">
      <c r="A330" s="77" t="s">
        <v>169</v>
      </c>
      <c r="B330" s="251" t="s">
        <v>78</v>
      </c>
      <c r="C330" s="47"/>
      <c r="D330" s="47"/>
      <c r="E330" s="252"/>
      <c r="F330" s="281">
        <v>0</v>
      </c>
      <c r="G330" s="266" t="s">
        <v>628</v>
      </c>
    </row>
    <row r="331" spans="1:7" ht="31.5" x14ac:dyDescent="0.25">
      <c r="A331" s="77" t="s">
        <v>170</v>
      </c>
      <c r="B331" s="251" t="s">
        <v>79</v>
      </c>
      <c r="C331" s="47"/>
      <c r="D331" s="47"/>
      <c r="E331" s="252"/>
      <c r="F331" s="281">
        <v>0</v>
      </c>
      <c r="G331" s="266" t="s">
        <v>54</v>
      </c>
    </row>
    <row r="332" spans="1:7" ht="47.25" x14ac:dyDescent="0.25">
      <c r="A332" s="77" t="s">
        <v>171</v>
      </c>
      <c r="B332" s="251" t="s">
        <v>80</v>
      </c>
      <c r="C332" s="47"/>
      <c r="D332" s="47"/>
      <c r="E332" s="252"/>
      <c r="F332" s="281">
        <v>0</v>
      </c>
      <c r="G332" s="266" t="s">
        <v>628</v>
      </c>
    </row>
    <row r="333" spans="1:7" ht="31.5" x14ac:dyDescent="0.25">
      <c r="A333" s="77" t="s">
        <v>172</v>
      </c>
      <c r="B333" s="251" t="s">
        <v>81</v>
      </c>
      <c r="C333" s="47"/>
      <c r="D333" s="47"/>
      <c r="E333" s="252"/>
      <c r="F333" s="281">
        <f>$F$183</f>
        <v>39381.800000000003</v>
      </c>
      <c r="G333" s="189" t="s">
        <v>328</v>
      </c>
    </row>
    <row r="334" spans="1:7" ht="15.75" x14ac:dyDescent="0.25">
      <c r="A334" s="78"/>
      <c r="B334" s="278" t="s">
        <v>501</v>
      </c>
      <c r="C334" s="47"/>
      <c r="D334" s="47"/>
      <c r="E334" s="252"/>
      <c r="F334" s="279">
        <f>SUM(F335:F338)</f>
        <v>39381.800000000003</v>
      </c>
      <c r="G334" s="189"/>
    </row>
    <row r="335" spans="1:7" ht="15.75" x14ac:dyDescent="0.25">
      <c r="A335" s="77" t="s">
        <v>169</v>
      </c>
      <c r="B335" s="251" t="s">
        <v>78</v>
      </c>
      <c r="C335" s="47"/>
      <c r="D335" s="47"/>
      <c r="E335" s="252"/>
      <c r="F335" s="281">
        <v>0</v>
      </c>
      <c r="G335" s="266" t="s">
        <v>628</v>
      </c>
    </row>
    <row r="336" spans="1:7" ht="31.5" x14ac:dyDescent="0.25">
      <c r="A336" s="77" t="s">
        <v>170</v>
      </c>
      <c r="B336" s="251" t="s">
        <v>79</v>
      </c>
      <c r="C336" s="47"/>
      <c r="D336" s="47"/>
      <c r="E336" s="252"/>
      <c r="F336" s="281">
        <v>0</v>
      </c>
      <c r="G336" s="266" t="s">
        <v>54</v>
      </c>
    </row>
    <row r="337" spans="1:7" ht="47.25" x14ac:dyDescent="0.25">
      <c r="A337" s="77" t="s">
        <v>171</v>
      </c>
      <c r="B337" s="251" t="s">
        <v>80</v>
      </c>
      <c r="C337" s="47"/>
      <c r="D337" s="47"/>
      <c r="E337" s="252"/>
      <c r="F337" s="281">
        <v>0</v>
      </c>
      <c r="G337" s="266" t="s">
        <v>628</v>
      </c>
    </row>
    <row r="338" spans="1:7" ht="31.5" x14ac:dyDescent="0.25">
      <c r="A338" s="77" t="s">
        <v>172</v>
      </c>
      <c r="B338" s="251" t="s">
        <v>81</v>
      </c>
      <c r="C338" s="47"/>
      <c r="D338" s="47"/>
      <c r="E338" s="252"/>
      <c r="F338" s="281">
        <f>$F$183</f>
        <v>39381.800000000003</v>
      </c>
      <c r="G338" s="189" t="s">
        <v>328</v>
      </c>
    </row>
    <row r="339" spans="1:7" ht="15.75" x14ac:dyDescent="0.25">
      <c r="A339" s="78" t="s">
        <v>82</v>
      </c>
      <c r="B339" s="148" t="s">
        <v>84</v>
      </c>
      <c r="C339" s="44"/>
      <c r="D339" s="44"/>
      <c r="E339" s="148"/>
      <c r="F339" s="288"/>
      <c r="G339" s="291" t="s">
        <v>628</v>
      </c>
    </row>
    <row r="340" spans="1:7" ht="15.75" x14ac:dyDescent="0.25">
      <c r="A340" s="78" t="s">
        <v>174</v>
      </c>
      <c r="B340" s="148" t="s">
        <v>93</v>
      </c>
      <c r="C340" s="44"/>
      <c r="D340" s="44"/>
      <c r="E340" s="148"/>
      <c r="F340" s="288"/>
      <c r="G340" s="282"/>
    </row>
    <row r="341" spans="1:7" ht="31.5" x14ac:dyDescent="0.25">
      <c r="A341" s="77" t="s">
        <v>175</v>
      </c>
      <c r="B341" s="251" t="s">
        <v>85</v>
      </c>
      <c r="C341" s="47"/>
      <c r="D341" s="47"/>
      <c r="E341" s="252"/>
      <c r="F341" s="281">
        <v>0</v>
      </c>
      <c r="G341" s="259"/>
    </row>
    <row r="342" spans="1:7" ht="15.75" x14ac:dyDescent="0.25">
      <c r="A342" s="77" t="s">
        <v>176</v>
      </c>
      <c r="B342" s="251" t="s">
        <v>86</v>
      </c>
      <c r="C342" s="47"/>
      <c r="D342" s="47"/>
      <c r="E342" s="252"/>
      <c r="F342" s="281"/>
      <c r="G342" s="259"/>
    </row>
    <row r="343" spans="1:7" ht="15.75" x14ac:dyDescent="0.25">
      <c r="A343" s="77" t="s">
        <v>558</v>
      </c>
      <c r="B343" s="252" t="s">
        <v>90</v>
      </c>
      <c r="C343" s="47"/>
      <c r="D343" s="127"/>
      <c r="E343" s="225"/>
      <c r="F343" s="287">
        <v>0</v>
      </c>
      <c r="G343" s="259"/>
    </row>
    <row r="344" spans="1:7" ht="15.75" x14ac:dyDescent="0.25">
      <c r="A344" s="77" t="s">
        <v>559</v>
      </c>
      <c r="B344" s="252" t="s">
        <v>91</v>
      </c>
      <c r="C344" s="47"/>
      <c r="D344" s="127"/>
      <c r="E344" s="225"/>
      <c r="F344" s="287">
        <v>0</v>
      </c>
      <c r="G344" s="259"/>
    </row>
    <row r="345" spans="1:7" ht="15.75" x14ac:dyDescent="0.25">
      <c r="A345" s="77" t="s">
        <v>560</v>
      </c>
      <c r="B345" s="252" t="s">
        <v>92</v>
      </c>
      <c r="C345" s="47"/>
      <c r="D345" s="127"/>
      <c r="E345" s="225"/>
      <c r="F345" s="287">
        <v>0</v>
      </c>
      <c r="G345" s="259"/>
    </row>
    <row r="346" spans="1:7" ht="15.75" x14ac:dyDescent="0.25">
      <c r="A346" s="77" t="s">
        <v>180</v>
      </c>
      <c r="B346" s="251" t="s">
        <v>87</v>
      </c>
      <c r="C346" s="47"/>
      <c r="D346" s="47"/>
      <c r="E346" s="252"/>
      <c r="F346" s="281">
        <v>0</v>
      </c>
      <c r="G346" s="259"/>
    </row>
    <row r="347" spans="1:7" ht="31.5" x14ac:dyDescent="0.25">
      <c r="A347" s="77" t="s">
        <v>181</v>
      </c>
      <c r="B347" s="251" t="s">
        <v>88</v>
      </c>
      <c r="C347" s="47"/>
      <c r="D347" s="47"/>
      <c r="E347" s="252"/>
      <c r="F347" s="281">
        <v>0</v>
      </c>
      <c r="G347" s="259"/>
    </row>
    <row r="348" spans="1:7" ht="15.75" x14ac:dyDescent="0.25">
      <c r="A348" s="78" t="s">
        <v>177</v>
      </c>
      <c r="B348" s="148" t="s">
        <v>94</v>
      </c>
      <c r="C348" s="44"/>
      <c r="D348" s="44"/>
      <c r="E348" s="148"/>
      <c r="F348" s="288"/>
      <c r="G348" s="282"/>
    </row>
    <row r="349" spans="1:7" ht="31.5" x14ac:dyDescent="0.25">
      <c r="A349" s="77" t="s">
        <v>178</v>
      </c>
      <c r="B349" s="251" t="s">
        <v>85</v>
      </c>
      <c r="C349" s="44"/>
      <c r="D349" s="44"/>
      <c r="E349" s="148"/>
      <c r="F349" s="350">
        <v>0</v>
      </c>
      <c r="G349" s="282"/>
    </row>
    <row r="350" spans="1:7" ht="15.75" x14ac:dyDescent="0.25">
      <c r="A350" s="77" t="s">
        <v>179</v>
      </c>
      <c r="B350" s="251" t="s">
        <v>86</v>
      </c>
      <c r="C350" s="44"/>
      <c r="D350" s="44"/>
      <c r="E350" s="148"/>
      <c r="F350" s="350">
        <v>0</v>
      </c>
      <c r="G350" s="282"/>
    </row>
    <row r="351" spans="1:7" ht="15.75" x14ac:dyDescent="0.25">
      <c r="A351" s="77" t="s">
        <v>552</v>
      </c>
      <c r="B351" s="252" t="s">
        <v>90</v>
      </c>
      <c r="C351" s="127"/>
      <c r="D351" s="127"/>
      <c r="E351" s="225"/>
      <c r="F351" s="287">
        <v>0</v>
      </c>
      <c r="G351" s="259"/>
    </row>
    <row r="352" spans="1:7" ht="15.75" x14ac:dyDescent="0.25">
      <c r="A352" s="77" t="s">
        <v>553</v>
      </c>
      <c r="B352" s="252" t="s">
        <v>91</v>
      </c>
      <c r="C352" s="127"/>
      <c r="D352" s="127"/>
      <c r="E352" s="225"/>
      <c r="F352" s="287">
        <v>0</v>
      </c>
      <c r="G352" s="259"/>
    </row>
    <row r="353" spans="1:7" ht="15.75" x14ac:dyDescent="0.25">
      <c r="A353" s="77" t="s">
        <v>554</v>
      </c>
      <c r="B353" s="252" t="s">
        <v>92</v>
      </c>
      <c r="C353" s="127"/>
      <c r="D353" s="127"/>
      <c r="E353" s="225"/>
      <c r="F353" s="287">
        <v>0</v>
      </c>
      <c r="G353" s="259"/>
    </row>
    <row r="354" spans="1:7" ht="15.75" x14ac:dyDescent="0.25">
      <c r="A354" s="77" t="s">
        <v>182</v>
      </c>
      <c r="B354" s="251" t="s">
        <v>87</v>
      </c>
      <c r="C354" s="242"/>
      <c r="D354" s="242"/>
      <c r="E354" s="296"/>
      <c r="F354" s="350">
        <v>0</v>
      </c>
      <c r="G354" s="297"/>
    </row>
    <row r="355" spans="1:7" ht="31.5" x14ac:dyDescent="0.25">
      <c r="A355" s="77" t="s">
        <v>183</v>
      </c>
      <c r="B355" s="251" t="s">
        <v>88</v>
      </c>
      <c r="C355" s="242"/>
      <c r="D355" s="242"/>
      <c r="E355" s="296"/>
      <c r="F355" s="350">
        <v>0</v>
      </c>
      <c r="G355" s="297"/>
    </row>
    <row r="356" spans="1:7" ht="31.5" x14ac:dyDescent="0.25">
      <c r="A356" s="269" t="s">
        <v>184</v>
      </c>
      <c r="B356" s="270" t="s">
        <v>95</v>
      </c>
      <c r="C356" s="292"/>
      <c r="D356" s="292"/>
      <c r="E356" s="293"/>
      <c r="F356" s="294"/>
      <c r="G356" s="295"/>
    </row>
    <row r="357" spans="1:7" ht="31.5" x14ac:dyDescent="0.25">
      <c r="A357" s="77" t="s">
        <v>185</v>
      </c>
      <c r="B357" s="251" t="s">
        <v>85</v>
      </c>
      <c r="C357" s="292"/>
      <c r="D357" s="292"/>
      <c r="E357" s="293"/>
      <c r="F357" s="350">
        <v>0</v>
      </c>
      <c r="G357" s="295"/>
    </row>
    <row r="358" spans="1:7" ht="15.75" x14ac:dyDescent="0.25">
      <c r="A358" s="77" t="s">
        <v>186</v>
      </c>
      <c r="B358" s="251" t="s">
        <v>86</v>
      </c>
      <c r="C358" s="292"/>
      <c r="D358" s="292"/>
      <c r="E358" s="293"/>
      <c r="F358" s="350">
        <v>0</v>
      </c>
      <c r="G358" s="295"/>
    </row>
    <row r="359" spans="1:7" ht="15.75" x14ac:dyDescent="0.25">
      <c r="A359" s="77" t="s">
        <v>555</v>
      </c>
      <c r="B359" s="252" t="s">
        <v>90</v>
      </c>
      <c r="C359" s="127"/>
      <c r="D359" s="127"/>
      <c r="E359" s="225"/>
      <c r="F359" s="350">
        <v>0</v>
      </c>
      <c r="G359" s="259"/>
    </row>
    <row r="360" spans="1:7" ht="15.75" x14ac:dyDescent="0.25">
      <c r="A360" s="77" t="s">
        <v>556</v>
      </c>
      <c r="B360" s="252" t="s">
        <v>91</v>
      </c>
      <c r="C360" s="127"/>
      <c r="D360" s="127"/>
      <c r="E360" s="225"/>
      <c r="F360" s="350">
        <v>0</v>
      </c>
      <c r="G360" s="259"/>
    </row>
    <row r="361" spans="1:7" ht="15.75" x14ac:dyDescent="0.25">
      <c r="A361" s="77" t="s">
        <v>557</v>
      </c>
      <c r="B361" s="252" t="s">
        <v>92</v>
      </c>
      <c r="C361" s="242"/>
      <c r="D361" s="242"/>
      <c r="E361" s="296"/>
      <c r="F361" s="350">
        <v>0</v>
      </c>
      <c r="G361" s="297"/>
    </row>
    <row r="362" spans="1:7" ht="15.75" x14ac:dyDescent="0.25">
      <c r="A362" s="77" t="s">
        <v>187</v>
      </c>
      <c r="B362" s="251" t="s">
        <v>87</v>
      </c>
      <c r="C362" s="127"/>
      <c r="D362" s="127"/>
      <c r="E362" s="225"/>
      <c r="F362" s="350">
        <v>0</v>
      </c>
      <c r="G362" s="259"/>
    </row>
    <row r="363" spans="1:7" ht="31.5" x14ac:dyDescent="0.25">
      <c r="A363" s="77" t="s">
        <v>188</v>
      </c>
      <c r="B363" s="251" t="s">
        <v>88</v>
      </c>
      <c r="C363" s="127"/>
      <c r="D363" s="127"/>
      <c r="E363" s="225"/>
      <c r="F363" s="350">
        <v>0</v>
      </c>
      <c r="G363" s="259"/>
    </row>
    <row r="364" spans="1:7" ht="31.5" x14ac:dyDescent="0.25">
      <c r="A364" s="269" t="s">
        <v>617</v>
      </c>
      <c r="B364" s="383" t="s">
        <v>618</v>
      </c>
      <c r="C364" s="44"/>
      <c r="D364" s="44"/>
      <c r="E364" s="148"/>
      <c r="F364" s="286"/>
      <c r="G364" s="392"/>
    </row>
    <row r="365" spans="1:7" ht="31.5" x14ac:dyDescent="0.25">
      <c r="A365" s="77" t="s">
        <v>619</v>
      </c>
      <c r="B365" s="251" t="s">
        <v>85</v>
      </c>
      <c r="C365" s="127"/>
      <c r="D365" s="127"/>
      <c r="E365" s="225"/>
      <c r="F365" s="350">
        <v>0</v>
      </c>
      <c r="G365" s="259"/>
    </row>
    <row r="366" spans="1:7" ht="15.75" x14ac:dyDescent="0.25">
      <c r="A366" s="77" t="s">
        <v>620</v>
      </c>
      <c r="B366" s="251" t="s">
        <v>86</v>
      </c>
      <c r="C366" s="127"/>
      <c r="D366" s="127"/>
      <c r="E366" s="225"/>
      <c r="F366" s="350">
        <v>0</v>
      </c>
      <c r="G366" s="259"/>
    </row>
    <row r="367" spans="1:7" ht="15.75" x14ac:dyDescent="0.25">
      <c r="A367" s="77" t="s">
        <v>621</v>
      </c>
      <c r="B367" s="252" t="s">
        <v>90</v>
      </c>
      <c r="C367" s="127" t="s">
        <v>355</v>
      </c>
      <c r="D367" s="127"/>
      <c r="E367" s="225"/>
      <c r="F367" s="350">
        <v>0</v>
      </c>
      <c r="G367" s="259"/>
    </row>
    <row r="368" spans="1:7" ht="15.75" x14ac:dyDescent="0.25">
      <c r="A368" s="77" t="s">
        <v>622</v>
      </c>
      <c r="B368" s="252" t="s">
        <v>91</v>
      </c>
      <c r="C368" s="127" t="s">
        <v>323</v>
      </c>
      <c r="D368" s="127"/>
      <c r="E368" s="225"/>
      <c r="F368" s="350">
        <v>0</v>
      </c>
      <c r="G368" s="259"/>
    </row>
    <row r="369" spans="1:7" ht="15.75" x14ac:dyDescent="0.25">
      <c r="A369" s="77" t="s">
        <v>623</v>
      </c>
      <c r="B369" s="273" t="s">
        <v>92</v>
      </c>
      <c r="C369" s="127" t="s">
        <v>322</v>
      </c>
      <c r="D369" s="127"/>
      <c r="E369" s="225"/>
      <c r="F369" s="350">
        <v>0</v>
      </c>
      <c r="G369" s="259"/>
    </row>
    <row r="370" spans="1:7" ht="15.75" x14ac:dyDescent="0.25">
      <c r="A370" s="77" t="s">
        <v>624</v>
      </c>
      <c r="B370" s="251" t="s">
        <v>87</v>
      </c>
      <c r="C370" s="127"/>
      <c r="D370" s="127"/>
      <c r="E370" s="225"/>
      <c r="F370" s="350">
        <v>0</v>
      </c>
      <c r="G370" s="259"/>
    </row>
    <row r="371" spans="1:7" ht="31.5" x14ac:dyDescent="0.25">
      <c r="A371" s="339" t="s">
        <v>625</v>
      </c>
      <c r="B371" s="336" t="s">
        <v>88</v>
      </c>
      <c r="C371" s="242"/>
      <c r="D371" s="242"/>
      <c r="E371" s="296"/>
      <c r="F371" s="350">
        <v>0</v>
      </c>
      <c r="G371" s="297"/>
    </row>
  </sheetData>
  <mergeCells count="4">
    <mergeCell ref="A1:G1"/>
    <mergeCell ref="A2:G2"/>
    <mergeCell ref="A3:G3"/>
    <mergeCell ref="A4:G4"/>
  </mergeCells>
  <pageMargins left="0.7" right="0.7" top="0.75" bottom="0.75" header="0.3" footer="0.3"/>
  <pageSetup paperSize="9"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K304"/>
  <sheetViews>
    <sheetView zoomScale="90" zoomScaleNormal="90" workbookViewId="0">
      <pane ySplit="8" topLeftCell="A12" activePane="bottomLeft" state="frozen"/>
      <selection pane="bottomLeft" activeCell="A5" sqref="A5"/>
    </sheetView>
  </sheetViews>
  <sheetFormatPr defaultRowHeight="15.75" x14ac:dyDescent="0.25"/>
  <cols>
    <col min="1" max="1" width="9.28515625" bestFit="1" customWidth="1"/>
    <col min="2" max="2" width="57.42578125" customWidth="1"/>
    <col min="3" max="3" width="19.28515625" style="32" customWidth="1"/>
    <col min="4" max="5" width="17.140625" style="32" customWidth="1"/>
    <col min="6" max="6" width="17.140625" style="197" customWidth="1"/>
    <col min="7" max="7" width="43.5703125" style="199" customWidth="1"/>
    <col min="8" max="8" width="18.42578125" customWidth="1"/>
    <col min="9" max="9" width="13.28515625" bestFit="1" customWidth="1"/>
    <col min="10" max="10" width="12.140625" bestFit="1" customWidth="1"/>
    <col min="11" max="11" width="13.28515625" bestFit="1" customWidth="1"/>
  </cols>
  <sheetData>
    <row r="1" spans="1:11" x14ac:dyDescent="0.25">
      <c r="A1" s="442" t="s">
        <v>381</v>
      </c>
      <c r="B1" s="442"/>
      <c r="C1" s="442"/>
      <c r="D1" s="442"/>
      <c r="E1" s="442"/>
      <c r="F1" s="442"/>
      <c r="G1" s="442"/>
      <c r="H1" s="19"/>
      <c r="I1" s="19"/>
      <c r="J1" s="19"/>
      <c r="K1" s="19"/>
    </row>
    <row r="2" spans="1:11" x14ac:dyDescent="0.25">
      <c r="A2" s="443" t="s">
        <v>55</v>
      </c>
      <c r="B2" s="443"/>
      <c r="C2" s="443"/>
      <c r="D2" s="443"/>
      <c r="E2" s="443"/>
      <c r="F2" s="443"/>
      <c r="G2" s="443"/>
      <c r="H2" s="20"/>
      <c r="I2" s="20"/>
      <c r="J2" s="20"/>
      <c r="K2" s="20"/>
    </row>
    <row r="3" spans="1:11" x14ac:dyDescent="0.25">
      <c r="A3" s="443" t="s">
        <v>205</v>
      </c>
      <c r="B3" s="443"/>
      <c r="C3" s="443"/>
      <c r="D3" s="443"/>
      <c r="E3" s="443"/>
      <c r="F3" s="443"/>
      <c r="G3" s="443"/>
      <c r="H3" s="20"/>
      <c r="I3" s="20"/>
      <c r="J3" s="20"/>
      <c r="K3" s="20"/>
    </row>
    <row r="4" spans="1:11" x14ac:dyDescent="0.25">
      <c r="A4" s="444" t="s">
        <v>664</v>
      </c>
      <c r="B4" s="444"/>
      <c r="C4" s="444"/>
      <c r="D4" s="444"/>
      <c r="E4" s="444"/>
      <c r="F4" s="444"/>
      <c r="G4" s="444"/>
      <c r="H4" s="21"/>
      <c r="I4" s="21"/>
      <c r="J4" s="21"/>
      <c r="K4" s="21"/>
    </row>
    <row r="7" spans="1:11" x14ac:dyDescent="0.25">
      <c r="A7" s="83" t="s">
        <v>96</v>
      </c>
      <c r="B7" s="84" t="s">
        <v>645</v>
      </c>
      <c r="C7" s="84" t="s">
        <v>98</v>
      </c>
      <c r="D7" s="84" t="s">
        <v>210</v>
      </c>
      <c r="E7" s="84" t="s">
        <v>110</v>
      </c>
      <c r="F7" s="180" t="s">
        <v>197</v>
      </c>
      <c r="G7" s="81" t="s">
        <v>53</v>
      </c>
    </row>
    <row r="8" spans="1:11" x14ac:dyDescent="0.25">
      <c r="A8" s="77" t="s">
        <v>11</v>
      </c>
      <c r="B8" s="17" t="s">
        <v>12</v>
      </c>
      <c r="C8" s="17" t="s">
        <v>13</v>
      </c>
      <c r="D8" s="47">
        <v>2</v>
      </c>
      <c r="E8" s="17"/>
      <c r="F8" s="257"/>
      <c r="G8" s="266"/>
      <c r="H8" s="18"/>
    </row>
    <row r="9" spans="1:11" x14ac:dyDescent="0.25">
      <c r="A9" s="133" t="s">
        <v>25</v>
      </c>
      <c r="B9" s="8" t="s">
        <v>83</v>
      </c>
      <c r="C9" s="17"/>
      <c r="D9" s="47"/>
      <c r="E9" s="17"/>
      <c r="F9" s="257"/>
      <c r="G9" s="266"/>
      <c r="H9" s="18"/>
    </row>
    <row r="10" spans="1:11" x14ac:dyDescent="0.25">
      <c r="A10" s="78" t="s">
        <v>114</v>
      </c>
      <c r="B10" s="143" t="s">
        <v>15</v>
      </c>
      <c r="C10" s="17"/>
      <c r="D10" s="47"/>
      <c r="E10" s="17"/>
      <c r="F10" s="257">
        <f>F11+F17+F18+F19</f>
        <v>1.9077059999999999</v>
      </c>
      <c r="G10" s="266"/>
      <c r="H10" s="18"/>
    </row>
    <row r="11" spans="1:11" x14ac:dyDescent="0.25">
      <c r="A11" s="77" t="s">
        <v>115</v>
      </c>
      <c r="B11" s="251" t="s">
        <v>16</v>
      </c>
      <c r="C11" s="17"/>
      <c r="D11" s="47"/>
      <c r="E11" s="17"/>
      <c r="F11" s="257">
        <f>SUM(F12:F16)</f>
        <v>1.9077059999999999</v>
      </c>
      <c r="G11" s="266" t="s">
        <v>222</v>
      </c>
    </row>
    <row r="12" spans="1:11" x14ac:dyDescent="0.25">
      <c r="A12" s="125" t="s">
        <v>89</v>
      </c>
      <c r="B12" s="225" t="s">
        <v>192</v>
      </c>
      <c r="C12" s="127" t="s">
        <v>107</v>
      </c>
      <c r="D12" s="127">
        <v>8.9760000000000003E-4</v>
      </c>
      <c r="E12" s="127">
        <v>1902</v>
      </c>
      <c r="F12" s="228">
        <f>D12*E12</f>
        <v>1.7072352</v>
      </c>
      <c r="G12" s="266"/>
    </row>
    <row r="13" spans="1:11" x14ac:dyDescent="0.25">
      <c r="A13" s="125" t="s">
        <v>89</v>
      </c>
      <c r="B13" s="225" t="s">
        <v>193</v>
      </c>
      <c r="C13" s="127" t="s">
        <v>200</v>
      </c>
      <c r="D13" s="127">
        <v>1.5999999999999999E-5</v>
      </c>
      <c r="E13" s="127">
        <v>1902</v>
      </c>
      <c r="F13" s="228">
        <f t="shared" ref="F13:F16" si="0">D13*E13</f>
        <v>3.0431999999999997E-2</v>
      </c>
      <c r="G13" s="266"/>
    </row>
    <row r="14" spans="1:11" x14ac:dyDescent="0.25">
      <c r="A14" s="125" t="s">
        <v>89</v>
      </c>
      <c r="B14" s="225" t="s">
        <v>207</v>
      </c>
      <c r="C14" s="127" t="s">
        <v>107</v>
      </c>
      <c r="D14" s="127">
        <v>1.5999999999999999E-5</v>
      </c>
      <c r="E14" s="127">
        <v>1902</v>
      </c>
      <c r="F14" s="228">
        <f t="shared" si="0"/>
        <v>3.0431999999999997E-2</v>
      </c>
      <c r="G14" s="266"/>
    </row>
    <row r="15" spans="1:11" x14ac:dyDescent="0.25">
      <c r="A15" s="125" t="s">
        <v>89</v>
      </c>
      <c r="B15" s="225" t="s">
        <v>199</v>
      </c>
      <c r="C15" s="127" t="s">
        <v>200</v>
      </c>
      <c r="D15" s="127">
        <v>2.5599999999999999E-5</v>
      </c>
      <c r="E15" s="127">
        <v>1902</v>
      </c>
      <c r="F15" s="228">
        <f t="shared" si="0"/>
        <v>4.8691199999999997E-2</v>
      </c>
      <c r="G15" s="266"/>
    </row>
    <row r="16" spans="1:11" x14ac:dyDescent="0.25">
      <c r="A16" s="125" t="s">
        <v>89</v>
      </c>
      <c r="B16" s="225" t="s">
        <v>208</v>
      </c>
      <c r="C16" s="127" t="s">
        <v>209</v>
      </c>
      <c r="D16" s="127">
        <v>4.7800000000000003E-5</v>
      </c>
      <c r="E16" s="127">
        <v>1902</v>
      </c>
      <c r="F16" s="228">
        <f t="shared" si="0"/>
        <v>9.0915599999999999E-2</v>
      </c>
      <c r="G16" s="266"/>
    </row>
    <row r="17" spans="1:7" ht="38.25" x14ac:dyDescent="0.25">
      <c r="A17" s="77" t="s">
        <v>116</v>
      </c>
      <c r="B17" s="251" t="s">
        <v>17</v>
      </c>
      <c r="C17" s="47"/>
      <c r="D17" s="47"/>
      <c r="E17" s="47"/>
      <c r="F17" s="257">
        <v>0</v>
      </c>
      <c r="G17" s="300" t="s">
        <v>546</v>
      </c>
    </row>
    <row r="18" spans="1:7" ht="38.25" x14ac:dyDescent="0.25">
      <c r="A18" s="77" t="s">
        <v>117</v>
      </c>
      <c r="B18" s="251" t="s">
        <v>18</v>
      </c>
      <c r="C18" s="47"/>
      <c r="D18" s="47"/>
      <c r="E18" s="47"/>
      <c r="F18" s="257">
        <v>0</v>
      </c>
      <c r="G18" s="300" t="s">
        <v>546</v>
      </c>
    </row>
    <row r="19" spans="1:7" ht="31.5" x14ac:dyDescent="0.25">
      <c r="A19" s="77" t="s">
        <v>118</v>
      </c>
      <c r="B19" s="251" t="s">
        <v>19</v>
      </c>
      <c r="C19" s="47"/>
      <c r="D19" s="47"/>
      <c r="E19" s="47"/>
      <c r="F19" s="257">
        <v>0</v>
      </c>
      <c r="G19" s="300" t="s">
        <v>54</v>
      </c>
    </row>
    <row r="20" spans="1:7" x14ac:dyDescent="0.25">
      <c r="A20" s="78" t="s">
        <v>119</v>
      </c>
      <c r="B20" s="143" t="s">
        <v>20</v>
      </c>
      <c r="C20" s="127"/>
      <c r="D20" s="127"/>
      <c r="E20" s="127"/>
      <c r="F20" s="228"/>
      <c r="G20" s="266" t="s">
        <v>246</v>
      </c>
    </row>
    <row r="21" spans="1:7" x14ac:dyDescent="0.25">
      <c r="A21" s="77" t="s">
        <v>120</v>
      </c>
      <c r="B21" s="251" t="s">
        <v>21</v>
      </c>
      <c r="C21" s="47"/>
      <c r="D21" s="47"/>
      <c r="E21" s="47"/>
      <c r="F21" s="257">
        <v>0</v>
      </c>
      <c r="G21" s="300" t="s">
        <v>54</v>
      </c>
    </row>
    <row r="22" spans="1:7" x14ac:dyDescent="0.25">
      <c r="A22" s="77" t="s">
        <v>121</v>
      </c>
      <c r="B22" s="251" t="s">
        <v>22</v>
      </c>
      <c r="C22" s="276"/>
      <c r="D22" s="47"/>
      <c r="E22" s="47"/>
      <c r="F22" s="257">
        <f>SUM(F23:F30)</f>
        <v>11523.746304000002</v>
      </c>
      <c r="G22" s="266"/>
    </row>
    <row r="23" spans="1:7" x14ac:dyDescent="0.25">
      <c r="A23" s="125" t="s">
        <v>89</v>
      </c>
      <c r="B23" s="225" t="s">
        <v>192</v>
      </c>
      <c r="C23" s="127" t="s">
        <v>107</v>
      </c>
      <c r="D23" s="127">
        <v>4.7872000000000003</v>
      </c>
      <c r="E23" s="127">
        <v>1902</v>
      </c>
      <c r="F23" s="228">
        <f t="shared" ref="F23:F30" si="1">D23*E23</f>
        <v>9105.2543999999998</v>
      </c>
      <c r="G23" s="266"/>
    </row>
    <row r="24" spans="1:7" x14ac:dyDescent="0.25">
      <c r="A24" s="125" t="s">
        <v>89</v>
      </c>
      <c r="B24" s="225" t="s">
        <v>193</v>
      </c>
      <c r="C24" s="127" t="s">
        <v>200</v>
      </c>
      <c r="D24" s="127">
        <v>0.128</v>
      </c>
      <c r="E24" s="127">
        <v>1902</v>
      </c>
      <c r="F24" s="228">
        <f t="shared" si="1"/>
        <v>243.45600000000002</v>
      </c>
      <c r="G24" s="266"/>
    </row>
    <row r="25" spans="1:7" x14ac:dyDescent="0.25">
      <c r="A25" s="125" t="s">
        <v>89</v>
      </c>
      <c r="B25" s="225" t="s">
        <v>236</v>
      </c>
      <c r="C25" s="127" t="s">
        <v>107</v>
      </c>
      <c r="D25" s="127">
        <v>2.5600000000000001E-2</v>
      </c>
      <c r="E25" s="127">
        <v>1902</v>
      </c>
      <c r="F25" s="228">
        <f t="shared" si="1"/>
        <v>48.691200000000002</v>
      </c>
      <c r="G25" s="266"/>
    </row>
    <row r="26" spans="1:7" x14ac:dyDescent="0.25">
      <c r="A26" s="125" t="s">
        <v>89</v>
      </c>
      <c r="B26" s="225" t="s">
        <v>207</v>
      </c>
      <c r="C26" s="127" t="s">
        <v>107</v>
      </c>
      <c r="D26" s="127">
        <v>0.21759999999999999</v>
      </c>
      <c r="E26" s="127">
        <v>1902</v>
      </c>
      <c r="F26" s="228">
        <f t="shared" si="1"/>
        <v>413.87519999999995</v>
      </c>
      <c r="G26" s="266"/>
    </row>
    <row r="27" spans="1:7" x14ac:dyDescent="0.25">
      <c r="A27" s="125" t="s">
        <v>89</v>
      </c>
      <c r="B27" s="225" t="s">
        <v>240</v>
      </c>
      <c r="C27" s="127" t="s">
        <v>107</v>
      </c>
      <c r="D27" s="127">
        <v>8.7040000000000006E-2</v>
      </c>
      <c r="E27" s="127">
        <v>1902</v>
      </c>
      <c r="F27" s="228">
        <f t="shared" si="1"/>
        <v>165.55008000000001</v>
      </c>
      <c r="G27" s="266"/>
    </row>
    <row r="28" spans="1:7" x14ac:dyDescent="0.25">
      <c r="A28" s="125" t="s">
        <v>89</v>
      </c>
      <c r="B28" s="225" t="s">
        <v>199</v>
      </c>
      <c r="C28" s="127" t="s">
        <v>200</v>
      </c>
      <c r="D28" s="127">
        <v>0.51200000000000001</v>
      </c>
      <c r="E28" s="127">
        <v>1902</v>
      </c>
      <c r="F28" s="228">
        <f t="shared" si="1"/>
        <v>973.82400000000007</v>
      </c>
      <c r="G28" s="266"/>
    </row>
    <row r="29" spans="1:7" x14ac:dyDescent="0.25">
      <c r="A29" s="125" t="s">
        <v>89</v>
      </c>
      <c r="B29" s="225" t="s">
        <v>204</v>
      </c>
      <c r="C29" s="127" t="s">
        <v>107</v>
      </c>
      <c r="D29" s="127">
        <v>1.2800000000000001E-2</v>
      </c>
      <c r="E29" s="127">
        <v>1902</v>
      </c>
      <c r="F29" s="228">
        <f t="shared" si="1"/>
        <v>24.345600000000001</v>
      </c>
      <c r="G29" s="266"/>
    </row>
    <row r="30" spans="1:7" x14ac:dyDescent="0.25">
      <c r="A30" s="125" t="s">
        <v>89</v>
      </c>
      <c r="B30" s="225" t="s">
        <v>208</v>
      </c>
      <c r="C30" s="127" t="s">
        <v>209</v>
      </c>
      <c r="D30" s="127">
        <v>0.28851199999999999</v>
      </c>
      <c r="E30" s="127">
        <v>1902</v>
      </c>
      <c r="F30" s="228">
        <f t="shared" si="1"/>
        <v>548.74982399999999</v>
      </c>
      <c r="G30" s="266"/>
    </row>
    <row r="31" spans="1:7" x14ac:dyDescent="0.25">
      <c r="A31" s="122" t="s">
        <v>122</v>
      </c>
      <c r="B31" s="252" t="s">
        <v>23</v>
      </c>
      <c r="C31" s="47"/>
      <c r="D31" s="47"/>
      <c r="E31" s="47"/>
      <c r="F31" s="257">
        <f>SUM(F32:F38)</f>
        <v>143.72729280000001</v>
      </c>
      <c r="G31" s="266"/>
    </row>
    <row r="32" spans="1:7" x14ac:dyDescent="0.25">
      <c r="A32" s="125" t="s">
        <v>89</v>
      </c>
      <c r="B32" s="225" t="s">
        <v>192</v>
      </c>
      <c r="C32" s="127" t="s">
        <v>107</v>
      </c>
      <c r="D32" s="127">
        <v>5.9839999999999997E-2</v>
      </c>
      <c r="E32" s="127">
        <v>1902</v>
      </c>
      <c r="F32" s="228">
        <f t="shared" ref="F32:F38" si="2">D32*E32</f>
        <v>113.81568</v>
      </c>
      <c r="G32" s="266"/>
    </row>
    <row r="33" spans="1:7" x14ac:dyDescent="0.25">
      <c r="A33" s="125" t="s">
        <v>89</v>
      </c>
      <c r="B33" s="225" t="s">
        <v>193</v>
      </c>
      <c r="C33" s="127" t="s">
        <v>200</v>
      </c>
      <c r="D33" s="127">
        <v>1.6000000000000001E-3</v>
      </c>
      <c r="E33" s="127">
        <v>1902</v>
      </c>
      <c r="F33" s="228">
        <f t="shared" si="2"/>
        <v>3.0432000000000001</v>
      </c>
      <c r="G33" s="266"/>
    </row>
    <row r="34" spans="1:7" x14ac:dyDescent="0.25">
      <c r="A34" s="125" t="s">
        <v>89</v>
      </c>
      <c r="B34" s="225" t="s">
        <v>236</v>
      </c>
      <c r="C34" s="127" t="s">
        <v>107</v>
      </c>
      <c r="D34" s="127">
        <v>3.2000000000000003E-4</v>
      </c>
      <c r="E34" s="127">
        <v>1902</v>
      </c>
      <c r="F34" s="228">
        <f t="shared" si="2"/>
        <v>0.60864000000000007</v>
      </c>
      <c r="G34" s="266"/>
    </row>
    <row r="35" spans="1:7" x14ac:dyDescent="0.25">
      <c r="A35" s="125" t="s">
        <v>89</v>
      </c>
      <c r="B35" s="225" t="s">
        <v>207</v>
      </c>
      <c r="C35" s="127" t="s">
        <v>107</v>
      </c>
      <c r="D35" s="127">
        <v>2.7200000000000002E-3</v>
      </c>
      <c r="E35" s="127">
        <v>1902</v>
      </c>
      <c r="F35" s="228">
        <f t="shared" si="2"/>
        <v>5.1734400000000003</v>
      </c>
      <c r="G35" s="266"/>
    </row>
    <row r="36" spans="1:7" x14ac:dyDescent="0.25">
      <c r="A36" s="125" t="s">
        <v>89</v>
      </c>
      <c r="B36" s="225" t="s">
        <v>240</v>
      </c>
      <c r="C36" s="127" t="s">
        <v>107</v>
      </c>
      <c r="D36" s="127">
        <v>1.088E-3</v>
      </c>
      <c r="E36" s="127">
        <v>1902</v>
      </c>
      <c r="F36" s="228">
        <f t="shared" si="2"/>
        <v>2.0693760000000001</v>
      </c>
      <c r="G36" s="266"/>
    </row>
    <row r="37" spans="1:7" x14ac:dyDescent="0.25">
      <c r="A37" s="125" t="s">
        <v>89</v>
      </c>
      <c r="B37" s="225" t="s">
        <v>199</v>
      </c>
      <c r="C37" s="127" t="s">
        <v>200</v>
      </c>
      <c r="D37" s="127">
        <v>6.4000000000000003E-3</v>
      </c>
      <c r="E37" s="127">
        <v>1902</v>
      </c>
      <c r="F37" s="228">
        <f t="shared" si="2"/>
        <v>12.172800000000001</v>
      </c>
      <c r="G37" s="266"/>
    </row>
    <row r="38" spans="1:7" x14ac:dyDescent="0.25">
      <c r="A38" s="125" t="s">
        <v>89</v>
      </c>
      <c r="B38" s="225" t="s">
        <v>208</v>
      </c>
      <c r="C38" s="127" t="s">
        <v>209</v>
      </c>
      <c r="D38" s="127">
        <v>3.5983999999999999E-3</v>
      </c>
      <c r="E38" s="127">
        <v>1902</v>
      </c>
      <c r="F38" s="228">
        <f t="shared" si="2"/>
        <v>6.8441567999999995</v>
      </c>
      <c r="G38" s="266"/>
    </row>
    <row r="39" spans="1:7" x14ac:dyDescent="0.25">
      <c r="A39" s="122" t="s">
        <v>123</v>
      </c>
      <c r="B39" s="252" t="s">
        <v>24</v>
      </c>
      <c r="C39" s="47"/>
      <c r="D39" s="47"/>
      <c r="E39" s="47"/>
      <c r="F39" s="257">
        <f>SUM(F40:F44)</f>
        <v>695.56596479999996</v>
      </c>
      <c r="G39" s="266"/>
    </row>
    <row r="40" spans="1:7" x14ac:dyDescent="0.25">
      <c r="A40" s="125" t="s">
        <v>89</v>
      </c>
      <c r="B40" s="225" t="s">
        <v>207</v>
      </c>
      <c r="C40" s="127" t="s">
        <v>107</v>
      </c>
      <c r="D40" s="127">
        <v>7.424E-2</v>
      </c>
      <c r="E40" s="127">
        <v>1902</v>
      </c>
      <c r="F40" s="228">
        <f t="shared" ref="F40:F44" si="3">D40*E40</f>
        <v>141.20447999999999</v>
      </c>
      <c r="G40" s="266"/>
    </row>
    <row r="41" spans="1:7" x14ac:dyDescent="0.25">
      <c r="A41" s="125" t="s">
        <v>89</v>
      </c>
      <c r="B41" s="225" t="s">
        <v>240</v>
      </c>
      <c r="C41" s="127" t="s">
        <v>107</v>
      </c>
      <c r="D41" s="127">
        <v>2.9696E-2</v>
      </c>
      <c r="E41" s="127">
        <v>1902</v>
      </c>
      <c r="F41" s="228">
        <f t="shared" si="3"/>
        <v>56.481791999999999</v>
      </c>
      <c r="G41" s="266"/>
    </row>
    <row r="42" spans="1:7" x14ac:dyDescent="0.25">
      <c r="A42" s="125" t="s">
        <v>89</v>
      </c>
      <c r="B42" s="225" t="s">
        <v>245</v>
      </c>
      <c r="C42" s="127" t="s">
        <v>200</v>
      </c>
      <c r="D42" s="127">
        <v>0.177152</v>
      </c>
      <c r="E42" s="127">
        <v>1902</v>
      </c>
      <c r="F42" s="228">
        <f t="shared" si="3"/>
        <v>336.94310400000001</v>
      </c>
      <c r="G42" s="266"/>
    </row>
    <row r="43" spans="1:7" x14ac:dyDescent="0.25">
      <c r="A43" s="125" t="s">
        <v>89</v>
      </c>
      <c r="B43" s="225" t="s">
        <v>241</v>
      </c>
      <c r="C43" s="127" t="s">
        <v>107</v>
      </c>
      <c r="D43" s="127">
        <v>6.7199999999999996E-2</v>
      </c>
      <c r="E43" s="127">
        <v>1902</v>
      </c>
      <c r="F43" s="228">
        <f t="shared" si="3"/>
        <v>127.81439999999999</v>
      </c>
      <c r="G43" s="266"/>
    </row>
    <row r="44" spans="1:7" x14ac:dyDescent="0.25">
      <c r="A44" s="125" t="s">
        <v>89</v>
      </c>
      <c r="B44" s="225" t="s">
        <v>208</v>
      </c>
      <c r="C44" s="127" t="s">
        <v>209</v>
      </c>
      <c r="D44" s="127">
        <v>1.74144E-2</v>
      </c>
      <c r="E44" s="127">
        <v>1902</v>
      </c>
      <c r="F44" s="228">
        <f t="shared" si="3"/>
        <v>33.122188800000004</v>
      </c>
      <c r="G44" s="266"/>
    </row>
    <row r="45" spans="1:7" ht="31.5" x14ac:dyDescent="0.25">
      <c r="A45" s="78" t="s">
        <v>26</v>
      </c>
      <c r="B45" s="143" t="s">
        <v>27</v>
      </c>
      <c r="C45" s="127"/>
      <c r="D45" s="127"/>
      <c r="E45" s="127"/>
      <c r="F45" s="228"/>
      <c r="G45" s="266"/>
    </row>
    <row r="46" spans="1:7" x14ac:dyDescent="0.25">
      <c r="A46" s="78" t="s">
        <v>124</v>
      </c>
      <c r="B46" s="143" t="s">
        <v>28</v>
      </c>
      <c r="C46" s="127"/>
      <c r="D46" s="127"/>
      <c r="E46" s="127"/>
      <c r="F46" s="228"/>
      <c r="G46" s="266" t="s">
        <v>264</v>
      </c>
    </row>
    <row r="47" spans="1:7" ht="31.5" x14ac:dyDescent="0.25">
      <c r="A47" s="77" t="s">
        <v>125</v>
      </c>
      <c r="B47" s="251" t="s">
        <v>29</v>
      </c>
      <c r="C47" s="47"/>
      <c r="D47" s="47"/>
      <c r="E47" s="47"/>
      <c r="F47" s="257">
        <f>SUM(F48:F54)</f>
        <v>3866.0021567999997</v>
      </c>
      <c r="G47" s="266"/>
    </row>
    <row r="48" spans="1:7" x14ac:dyDescent="0.25">
      <c r="A48" s="79" t="s">
        <v>89</v>
      </c>
      <c r="B48" s="48" t="s">
        <v>192</v>
      </c>
      <c r="C48" s="127" t="s">
        <v>107</v>
      </c>
      <c r="D48" s="127">
        <v>1.6508799999999999</v>
      </c>
      <c r="E48" s="127">
        <v>1902</v>
      </c>
      <c r="F48" s="228">
        <f t="shared" ref="F48:F54" si="4">D48*E48</f>
        <v>3139.9737599999999</v>
      </c>
      <c r="G48" s="266"/>
    </row>
    <row r="49" spans="1:7" x14ac:dyDescent="0.25">
      <c r="A49" s="79" t="s">
        <v>89</v>
      </c>
      <c r="B49" s="48" t="s">
        <v>193</v>
      </c>
      <c r="C49" s="127" t="s">
        <v>200</v>
      </c>
      <c r="D49" s="127">
        <v>3.2000000000000002E-3</v>
      </c>
      <c r="E49" s="127">
        <v>1902</v>
      </c>
      <c r="F49" s="228">
        <f t="shared" si="4"/>
        <v>6.0864000000000003</v>
      </c>
      <c r="G49" s="266"/>
    </row>
    <row r="50" spans="1:7" x14ac:dyDescent="0.25">
      <c r="A50" s="79" t="s">
        <v>89</v>
      </c>
      <c r="B50" s="48" t="s">
        <v>236</v>
      </c>
      <c r="C50" s="127" t="s">
        <v>107</v>
      </c>
      <c r="D50" s="127">
        <v>6.4000000000000005E-4</v>
      </c>
      <c r="E50" s="127">
        <v>1902</v>
      </c>
      <c r="F50" s="228">
        <f t="shared" si="4"/>
        <v>1.2172800000000001</v>
      </c>
      <c r="G50" s="266"/>
    </row>
    <row r="51" spans="1:7" x14ac:dyDescent="0.25">
      <c r="A51" s="79" t="s">
        <v>89</v>
      </c>
      <c r="B51" s="48" t="s">
        <v>207</v>
      </c>
      <c r="C51" s="127" t="s">
        <v>107</v>
      </c>
      <c r="D51" s="127">
        <v>7.424E-2</v>
      </c>
      <c r="E51" s="127">
        <v>1902</v>
      </c>
      <c r="F51" s="228">
        <f t="shared" si="4"/>
        <v>141.20447999999999</v>
      </c>
      <c r="G51" s="266"/>
    </row>
    <row r="52" spans="1:7" x14ac:dyDescent="0.25">
      <c r="A52" s="79" t="s">
        <v>89</v>
      </c>
      <c r="B52" s="48" t="s">
        <v>240</v>
      </c>
      <c r="C52" s="127" t="s">
        <v>107</v>
      </c>
      <c r="D52" s="127">
        <v>2.9696E-2</v>
      </c>
      <c r="E52" s="127">
        <v>1902</v>
      </c>
      <c r="F52" s="228">
        <f t="shared" si="4"/>
        <v>56.481791999999999</v>
      </c>
      <c r="G52" s="266"/>
    </row>
    <row r="53" spans="1:7" x14ac:dyDescent="0.25">
      <c r="A53" s="79" t="s">
        <v>89</v>
      </c>
      <c r="B53" s="48" t="s">
        <v>199</v>
      </c>
      <c r="C53" s="127" t="s">
        <v>200</v>
      </c>
      <c r="D53" s="127">
        <v>0.177152</v>
      </c>
      <c r="E53" s="127">
        <v>1902</v>
      </c>
      <c r="F53" s="228">
        <f t="shared" si="4"/>
        <v>336.94310400000001</v>
      </c>
      <c r="G53" s="266"/>
    </row>
    <row r="54" spans="1:7" x14ac:dyDescent="0.25">
      <c r="A54" s="79" t="s">
        <v>89</v>
      </c>
      <c r="B54" s="48" t="s">
        <v>208</v>
      </c>
      <c r="C54" s="127" t="s">
        <v>209</v>
      </c>
      <c r="D54" s="127">
        <v>9.6790399999999999E-2</v>
      </c>
      <c r="E54" s="127">
        <v>1902</v>
      </c>
      <c r="F54" s="228">
        <f t="shared" si="4"/>
        <v>184.0953408</v>
      </c>
      <c r="G54" s="266"/>
    </row>
    <row r="55" spans="1:7" ht="31.5" x14ac:dyDescent="0.25">
      <c r="A55" s="77" t="s">
        <v>126</v>
      </c>
      <c r="B55" s="251" t="s">
        <v>30</v>
      </c>
      <c r="C55" s="47"/>
      <c r="D55" s="47"/>
      <c r="E55" s="47"/>
      <c r="F55" s="257">
        <f>SUM(F56:F60)</f>
        <v>695.56596479999996</v>
      </c>
      <c r="G55" s="266"/>
    </row>
    <row r="56" spans="1:7" x14ac:dyDescent="0.25">
      <c r="A56" s="79" t="s">
        <v>89</v>
      </c>
      <c r="B56" s="48" t="s">
        <v>207</v>
      </c>
      <c r="C56" s="127" t="s">
        <v>107</v>
      </c>
      <c r="D56" s="127">
        <v>7.424E-2</v>
      </c>
      <c r="E56" s="127">
        <v>1902</v>
      </c>
      <c r="F56" s="228">
        <f t="shared" ref="F56:F60" si="5">D56*E56</f>
        <v>141.20447999999999</v>
      </c>
      <c r="G56" s="266"/>
    </row>
    <row r="57" spans="1:7" x14ac:dyDescent="0.25">
      <c r="A57" s="79" t="s">
        <v>89</v>
      </c>
      <c r="B57" s="48" t="s">
        <v>240</v>
      </c>
      <c r="C57" s="127" t="s">
        <v>107</v>
      </c>
      <c r="D57" s="127">
        <v>2.9696E-2</v>
      </c>
      <c r="E57" s="127">
        <v>1902</v>
      </c>
      <c r="F57" s="228">
        <f t="shared" si="5"/>
        <v>56.481791999999999</v>
      </c>
      <c r="G57" s="266"/>
    </row>
    <row r="58" spans="1:7" x14ac:dyDescent="0.25">
      <c r="A58" s="79" t="s">
        <v>89</v>
      </c>
      <c r="B58" s="48" t="s">
        <v>199</v>
      </c>
      <c r="C58" s="127" t="s">
        <v>200</v>
      </c>
      <c r="D58" s="127">
        <v>0.177152</v>
      </c>
      <c r="E58" s="127">
        <v>1902</v>
      </c>
      <c r="F58" s="228">
        <f t="shared" si="5"/>
        <v>336.94310400000001</v>
      </c>
      <c r="G58" s="266"/>
    </row>
    <row r="59" spans="1:7" x14ac:dyDescent="0.25">
      <c r="A59" s="79" t="s">
        <v>89</v>
      </c>
      <c r="B59" s="48" t="s">
        <v>241</v>
      </c>
      <c r="C59" s="127" t="s">
        <v>107</v>
      </c>
      <c r="D59" s="127">
        <v>6.7199999999999996E-2</v>
      </c>
      <c r="E59" s="127">
        <v>1902</v>
      </c>
      <c r="F59" s="228">
        <f t="shared" si="5"/>
        <v>127.81439999999999</v>
      </c>
      <c r="G59" s="266"/>
    </row>
    <row r="60" spans="1:7" x14ac:dyDescent="0.25">
      <c r="A60" s="79" t="s">
        <v>89</v>
      </c>
      <c r="B60" s="48" t="s">
        <v>208</v>
      </c>
      <c r="C60" s="127" t="s">
        <v>209</v>
      </c>
      <c r="D60" s="127">
        <v>1.74144E-2</v>
      </c>
      <c r="E60" s="127">
        <v>1902</v>
      </c>
      <c r="F60" s="228">
        <f t="shared" si="5"/>
        <v>33.122188800000004</v>
      </c>
      <c r="G60" s="266"/>
    </row>
    <row r="61" spans="1:7" x14ac:dyDescent="0.25">
      <c r="A61" s="77" t="s">
        <v>127</v>
      </c>
      <c r="B61" s="251" t="s">
        <v>31</v>
      </c>
      <c r="C61" s="47"/>
      <c r="D61" s="47"/>
      <c r="E61" s="47"/>
      <c r="F61" s="257">
        <f>SUM(F62:F66)</f>
        <v>5787.4999391999991</v>
      </c>
      <c r="G61" s="266"/>
    </row>
    <row r="62" spans="1:7" x14ac:dyDescent="0.25">
      <c r="A62" s="79" t="s">
        <v>89</v>
      </c>
      <c r="B62" s="48" t="s">
        <v>192</v>
      </c>
      <c r="C62" s="127" t="s">
        <v>107</v>
      </c>
      <c r="D62" s="127">
        <v>2.4763199999999999</v>
      </c>
      <c r="E62" s="127">
        <v>1902</v>
      </c>
      <c r="F62" s="228">
        <f t="shared" ref="F62:F66" si="6">D62*E62</f>
        <v>4709.9606399999993</v>
      </c>
      <c r="G62" s="266"/>
    </row>
    <row r="63" spans="1:7" x14ac:dyDescent="0.25">
      <c r="A63" s="79" t="s">
        <v>89</v>
      </c>
      <c r="B63" s="48" t="s">
        <v>207</v>
      </c>
      <c r="C63" s="127" t="s">
        <v>107</v>
      </c>
      <c r="D63" s="127">
        <v>0.11136</v>
      </c>
      <c r="E63" s="127">
        <v>1902</v>
      </c>
      <c r="F63" s="228">
        <f t="shared" si="6"/>
        <v>211.80672000000001</v>
      </c>
      <c r="G63" s="266"/>
    </row>
    <row r="64" spans="1:7" x14ac:dyDescent="0.25">
      <c r="A64" s="79" t="s">
        <v>89</v>
      </c>
      <c r="B64" s="48" t="s">
        <v>240</v>
      </c>
      <c r="C64" s="127" t="s">
        <v>107</v>
      </c>
      <c r="D64" s="127">
        <v>4.4544E-2</v>
      </c>
      <c r="E64" s="127">
        <v>1902</v>
      </c>
      <c r="F64" s="228">
        <f t="shared" si="6"/>
        <v>84.722688000000005</v>
      </c>
      <c r="G64" s="266"/>
    </row>
    <row r="65" spans="1:7" x14ac:dyDescent="0.25">
      <c r="A65" s="79" t="s">
        <v>89</v>
      </c>
      <c r="B65" s="48" t="s">
        <v>199</v>
      </c>
      <c r="C65" s="127" t="s">
        <v>200</v>
      </c>
      <c r="D65" s="127">
        <v>0.26572800000000002</v>
      </c>
      <c r="E65" s="127">
        <v>1902</v>
      </c>
      <c r="F65" s="228">
        <f t="shared" si="6"/>
        <v>505.41465600000004</v>
      </c>
      <c r="G65" s="266"/>
    </row>
    <row r="66" spans="1:7" x14ac:dyDescent="0.25">
      <c r="A66" s="79" t="s">
        <v>89</v>
      </c>
      <c r="B66" s="48" t="s">
        <v>208</v>
      </c>
      <c r="C66" s="127" t="s">
        <v>209</v>
      </c>
      <c r="D66" s="127">
        <v>0.14489759999999999</v>
      </c>
      <c r="E66" s="127">
        <v>1902</v>
      </c>
      <c r="F66" s="228">
        <f t="shared" si="6"/>
        <v>275.59523519999999</v>
      </c>
      <c r="G66" s="266"/>
    </row>
    <row r="67" spans="1:7" x14ac:dyDescent="0.25">
      <c r="A67" s="77" t="s">
        <v>128</v>
      </c>
      <c r="B67" s="251" t="s">
        <v>32</v>
      </c>
      <c r="C67" s="47"/>
      <c r="D67" s="47"/>
      <c r="E67" s="47"/>
      <c r="F67" s="257">
        <f>SUM(F68:F74)</f>
        <v>34848.979603200001</v>
      </c>
      <c r="G67" s="266"/>
    </row>
    <row r="68" spans="1:7" x14ac:dyDescent="0.25">
      <c r="A68" s="79" t="s">
        <v>89</v>
      </c>
      <c r="B68" s="48" t="s">
        <v>192</v>
      </c>
      <c r="C68" s="127" t="s">
        <v>107</v>
      </c>
      <c r="D68" s="127">
        <v>14.85792</v>
      </c>
      <c r="E68" s="127">
        <v>1902</v>
      </c>
      <c r="F68" s="228">
        <f t="shared" ref="F68:F74" si="7">D68*E68</f>
        <v>28259.76384</v>
      </c>
      <c r="G68" s="266"/>
    </row>
    <row r="69" spans="1:7" x14ac:dyDescent="0.25">
      <c r="A69" s="79" t="s">
        <v>89</v>
      </c>
      <c r="B69" s="48" t="s">
        <v>193</v>
      </c>
      <c r="C69" s="127" t="s">
        <v>200</v>
      </c>
      <c r="D69" s="127">
        <v>5.7599999999999998E-2</v>
      </c>
      <c r="E69" s="127">
        <v>1902</v>
      </c>
      <c r="F69" s="228">
        <f t="shared" si="7"/>
        <v>109.5552</v>
      </c>
      <c r="G69" s="266"/>
    </row>
    <row r="70" spans="1:7" x14ac:dyDescent="0.25">
      <c r="A70" s="79" t="s">
        <v>89</v>
      </c>
      <c r="B70" s="48" t="s">
        <v>236</v>
      </c>
      <c r="C70" s="127" t="s">
        <v>107</v>
      </c>
      <c r="D70" s="127">
        <v>4.4799999999999996E-3</v>
      </c>
      <c r="E70" s="127">
        <v>1902</v>
      </c>
      <c r="F70" s="228">
        <f t="shared" si="7"/>
        <v>8.5209599999999988</v>
      </c>
      <c r="G70" s="266"/>
    </row>
    <row r="71" spans="1:7" x14ac:dyDescent="0.25">
      <c r="A71" s="79" t="s">
        <v>89</v>
      </c>
      <c r="B71" s="48" t="s">
        <v>207</v>
      </c>
      <c r="C71" s="127" t="s">
        <v>107</v>
      </c>
      <c r="D71" s="127">
        <v>0.66815999999999998</v>
      </c>
      <c r="E71" s="127">
        <v>1902</v>
      </c>
      <c r="F71" s="228">
        <f t="shared" si="7"/>
        <v>1270.84032</v>
      </c>
      <c r="G71" s="266"/>
    </row>
    <row r="72" spans="1:7" x14ac:dyDescent="0.25">
      <c r="A72" s="79" t="s">
        <v>89</v>
      </c>
      <c r="B72" s="48" t="s">
        <v>240</v>
      </c>
      <c r="C72" s="127" t="s">
        <v>107</v>
      </c>
      <c r="D72" s="127">
        <v>0.267264</v>
      </c>
      <c r="E72" s="127">
        <v>1902</v>
      </c>
      <c r="F72" s="228">
        <f t="shared" si="7"/>
        <v>508.33612800000003</v>
      </c>
      <c r="G72" s="266"/>
    </row>
    <row r="73" spans="1:7" x14ac:dyDescent="0.25">
      <c r="A73" s="79" t="s">
        <v>89</v>
      </c>
      <c r="B73" s="48" t="s">
        <v>199</v>
      </c>
      <c r="C73" s="127" t="s">
        <v>200</v>
      </c>
      <c r="D73" s="127">
        <v>1.594368</v>
      </c>
      <c r="E73" s="127">
        <v>1902</v>
      </c>
      <c r="F73" s="228">
        <f t="shared" si="7"/>
        <v>3032.487936</v>
      </c>
      <c r="G73" s="266"/>
    </row>
    <row r="74" spans="1:7" x14ac:dyDescent="0.25">
      <c r="A74" s="79" t="s">
        <v>89</v>
      </c>
      <c r="B74" s="48" t="s">
        <v>208</v>
      </c>
      <c r="C74" s="127" t="s">
        <v>209</v>
      </c>
      <c r="D74" s="127">
        <v>0.87248959999999998</v>
      </c>
      <c r="E74" s="127">
        <v>1902</v>
      </c>
      <c r="F74" s="228">
        <f t="shared" si="7"/>
        <v>1659.4752191999999</v>
      </c>
      <c r="G74" s="266"/>
    </row>
    <row r="75" spans="1:7" x14ac:dyDescent="0.25">
      <c r="A75" s="77" t="s">
        <v>129</v>
      </c>
      <c r="B75" s="251" t="s">
        <v>33</v>
      </c>
      <c r="C75" s="47"/>
      <c r="D75" s="47"/>
      <c r="E75" s="47"/>
      <c r="F75" s="257">
        <f>SUM(F76:F82)</f>
        <v>27813.563769600001</v>
      </c>
      <c r="G75" s="266"/>
    </row>
    <row r="76" spans="1:7" x14ac:dyDescent="0.25">
      <c r="A76" s="79" t="s">
        <v>89</v>
      </c>
      <c r="B76" s="48" t="s">
        <v>192</v>
      </c>
      <c r="C76" s="127" t="s">
        <v>107</v>
      </c>
      <c r="D76" s="127">
        <v>11.55616</v>
      </c>
      <c r="E76" s="127">
        <v>1902</v>
      </c>
      <c r="F76" s="228">
        <f t="shared" ref="F76:F82" si="8">D76*E76</f>
        <v>21979.816320000002</v>
      </c>
      <c r="G76" s="266"/>
    </row>
    <row r="77" spans="1:7" x14ac:dyDescent="0.25">
      <c r="A77" s="79" t="s">
        <v>89</v>
      </c>
      <c r="B77" s="48" t="s">
        <v>193</v>
      </c>
      <c r="C77" s="127" t="s">
        <v>200</v>
      </c>
      <c r="D77" s="127">
        <v>0.33600000000000002</v>
      </c>
      <c r="E77" s="127">
        <v>1902</v>
      </c>
      <c r="F77" s="228">
        <f t="shared" si="8"/>
        <v>639.072</v>
      </c>
      <c r="G77" s="266"/>
    </row>
    <row r="78" spans="1:7" x14ac:dyDescent="0.25">
      <c r="A78" s="79" t="s">
        <v>89</v>
      </c>
      <c r="B78" s="48" t="s">
        <v>236</v>
      </c>
      <c r="C78" s="127" t="s">
        <v>107</v>
      </c>
      <c r="D78" s="127">
        <v>6.7199999999999996E-2</v>
      </c>
      <c r="E78" s="127">
        <v>1902</v>
      </c>
      <c r="F78" s="228">
        <f t="shared" si="8"/>
        <v>127.81439999999999</v>
      </c>
      <c r="G78" s="266"/>
    </row>
    <row r="79" spans="1:7" x14ac:dyDescent="0.25">
      <c r="A79" s="79" t="s">
        <v>89</v>
      </c>
      <c r="B79" s="48" t="s">
        <v>207</v>
      </c>
      <c r="C79" s="127" t="s">
        <v>107</v>
      </c>
      <c r="D79" s="127">
        <v>0.51968000000000003</v>
      </c>
      <c r="E79" s="127">
        <v>1902</v>
      </c>
      <c r="F79" s="228">
        <f t="shared" si="8"/>
        <v>988.43136000000004</v>
      </c>
      <c r="G79" s="266"/>
    </row>
    <row r="80" spans="1:7" x14ac:dyDescent="0.25">
      <c r="A80" s="79" t="s">
        <v>89</v>
      </c>
      <c r="B80" s="48" t="s">
        <v>263</v>
      </c>
      <c r="C80" s="127" t="s">
        <v>107</v>
      </c>
      <c r="D80" s="127">
        <v>0.207872</v>
      </c>
      <c r="E80" s="127">
        <v>1902</v>
      </c>
      <c r="F80" s="228">
        <f t="shared" si="8"/>
        <v>395.372544</v>
      </c>
      <c r="G80" s="266"/>
    </row>
    <row r="81" spans="1:7" x14ac:dyDescent="0.25">
      <c r="A81" s="79" t="s">
        <v>89</v>
      </c>
      <c r="B81" s="48" t="s">
        <v>199</v>
      </c>
      <c r="C81" s="127" t="s">
        <v>200</v>
      </c>
      <c r="D81" s="127">
        <v>1.2400640000000001</v>
      </c>
      <c r="E81" s="127">
        <v>1902</v>
      </c>
      <c r="F81" s="228">
        <f t="shared" si="8"/>
        <v>2358.6017280000001</v>
      </c>
      <c r="G81" s="266"/>
    </row>
    <row r="82" spans="1:7" x14ac:dyDescent="0.25">
      <c r="A82" s="79" t="s">
        <v>89</v>
      </c>
      <c r="B82" s="48" t="s">
        <v>208</v>
      </c>
      <c r="C82" s="127" t="s">
        <v>209</v>
      </c>
      <c r="D82" s="127">
        <v>0.69634879999999999</v>
      </c>
      <c r="E82" s="127">
        <v>1902</v>
      </c>
      <c r="F82" s="228">
        <f t="shared" si="8"/>
        <v>1324.4554175999999</v>
      </c>
      <c r="G82" s="266"/>
    </row>
    <row r="83" spans="1:7" x14ac:dyDescent="0.25">
      <c r="A83" s="77" t="s">
        <v>130</v>
      </c>
      <c r="B83" s="251" t="s">
        <v>34</v>
      </c>
      <c r="C83" s="47"/>
      <c r="D83" s="47"/>
      <c r="E83" s="47"/>
      <c r="F83" s="257">
        <f>SUM(F84:F90)</f>
        <v>19330.010784000006</v>
      </c>
      <c r="G83" s="266"/>
    </row>
    <row r="84" spans="1:7" x14ac:dyDescent="0.25">
      <c r="A84" s="79" t="s">
        <v>89</v>
      </c>
      <c r="B84" s="48" t="s">
        <v>192</v>
      </c>
      <c r="C84" s="127" t="s">
        <v>107</v>
      </c>
      <c r="D84" s="127">
        <v>8.2544000000000004</v>
      </c>
      <c r="E84" s="127">
        <v>1902</v>
      </c>
      <c r="F84" s="228">
        <f t="shared" ref="F84:F90" si="9">D84*E84</f>
        <v>15699.8688</v>
      </c>
      <c r="G84" s="266"/>
    </row>
    <row r="85" spans="1:7" x14ac:dyDescent="0.25">
      <c r="A85" s="79" t="s">
        <v>89</v>
      </c>
      <c r="B85" s="48" t="s">
        <v>193</v>
      </c>
      <c r="C85" s="127" t="s">
        <v>200</v>
      </c>
      <c r="D85" s="127">
        <v>1.6E-2</v>
      </c>
      <c r="E85" s="127">
        <v>1902</v>
      </c>
      <c r="F85" s="228">
        <f t="shared" si="9"/>
        <v>30.432000000000002</v>
      </c>
      <c r="G85" s="266"/>
    </row>
    <row r="86" spans="1:7" x14ac:dyDescent="0.25">
      <c r="A86" s="79" t="s">
        <v>89</v>
      </c>
      <c r="B86" s="48" t="s">
        <v>236</v>
      </c>
      <c r="C86" s="127" t="s">
        <v>107</v>
      </c>
      <c r="D86" s="127">
        <v>3.2000000000000002E-3</v>
      </c>
      <c r="E86" s="127">
        <v>1902</v>
      </c>
      <c r="F86" s="228">
        <f t="shared" si="9"/>
        <v>6.0864000000000003</v>
      </c>
      <c r="G86" s="266"/>
    </row>
    <row r="87" spans="1:7" x14ac:dyDescent="0.25">
      <c r="A87" s="79" t="s">
        <v>89</v>
      </c>
      <c r="B87" s="48" t="s">
        <v>207</v>
      </c>
      <c r="C87" s="127" t="s">
        <v>107</v>
      </c>
      <c r="D87" s="127">
        <v>0.37119999999999997</v>
      </c>
      <c r="E87" s="127">
        <v>1902</v>
      </c>
      <c r="F87" s="228">
        <f t="shared" si="9"/>
        <v>706.02239999999995</v>
      </c>
      <c r="G87" s="266"/>
    </row>
    <row r="88" spans="1:7" x14ac:dyDescent="0.25">
      <c r="A88" s="79" t="s">
        <v>89</v>
      </c>
      <c r="B88" s="48" t="s">
        <v>240</v>
      </c>
      <c r="C88" s="127" t="s">
        <v>107</v>
      </c>
      <c r="D88" s="127">
        <v>0.14848</v>
      </c>
      <c r="E88" s="127">
        <v>1902</v>
      </c>
      <c r="F88" s="228">
        <f t="shared" si="9"/>
        <v>282.40895999999998</v>
      </c>
      <c r="G88" s="266"/>
    </row>
    <row r="89" spans="1:7" x14ac:dyDescent="0.25">
      <c r="A89" s="79" t="s">
        <v>89</v>
      </c>
      <c r="B89" s="48" t="s">
        <v>199</v>
      </c>
      <c r="C89" s="127" t="s">
        <v>200</v>
      </c>
      <c r="D89" s="127">
        <v>0.88575999999999999</v>
      </c>
      <c r="E89" s="127">
        <v>1902</v>
      </c>
      <c r="F89" s="228">
        <f t="shared" si="9"/>
        <v>1684.71552</v>
      </c>
      <c r="G89" s="266"/>
    </row>
    <row r="90" spans="1:7" x14ac:dyDescent="0.25">
      <c r="A90" s="79" t="s">
        <v>89</v>
      </c>
      <c r="B90" s="48" t="s">
        <v>208</v>
      </c>
      <c r="C90" s="127" t="s">
        <v>209</v>
      </c>
      <c r="D90" s="127">
        <v>0.48395199999999999</v>
      </c>
      <c r="E90" s="127">
        <v>1902</v>
      </c>
      <c r="F90" s="228">
        <f t="shared" si="9"/>
        <v>920.47670400000004</v>
      </c>
      <c r="G90" s="266"/>
    </row>
    <row r="91" spans="1:7" ht="31.5" x14ac:dyDescent="0.25">
      <c r="A91" s="77" t="s">
        <v>131</v>
      </c>
      <c r="B91" s="251" t="s">
        <v>35</v>
      </c>
      <c r="C91" s="47"/>
      <c r="D91" s="47"/>
      <c r="E91" s="47"/>
      <c r="F91" s="257">
        <f>SUM(F92:F96)</f>
        <v>3858.3332927999995</v>
      </c>
      <c r="G91" s="266"/>
    </row>
    <row r="92" spans="1:7" x14ac:dyDescent="0.25">
      <c r="A92" s="79" t="s">
        <v>89</v>
      </c>
      <c r="B92" s="48" t="s">
        <v>192</v>
      </c>
      <c r="C92" s="127" t="s">
        <v>107</v>
      </c>
      <c r="D92" s="127">
        <v>1.6508799999999999</v>
      </c>
      <c r="E92" s="127">
        <v>1902</v>
      </c>
      <c r="F92" s="228">
        <f t="shared" ref="F92:F96" si="10">D92*E92</f>
        <v>3139.9737599999999</v>
      </c>
      <c r="G92" s="266"/>
    </row>
    <row r="93" spans="1:7" x14ac:dyDescent="0.25">
      <c r="A93" s="79" t="s">
        <v>89</v>
      </c>
      <c r="B93" s="48" t="s">
        <v>207</v>
      </c>
      <c r="C93" s="127" t="s">
        <v>107</v>
      </c>
      <c r="D93" s="127">
        <v>7.424E-2</v>
      </c>
      <c r="E93" s="127">
        <v>1902</v>
      </c>
      <c r="F93" s="228">
        <f t="shared" si="10"/>
        <v>141.20447999999999</v>
      </c>
      <c r="G93" s="266"/>
    </row>
    <row r="94" spans="1:7" x14ac:dyDescent="0.25">
      <c r="A94" s="79" t="s">
        <v>89</v>
      </c>
      <c r="B94" s="48" t="s">
        <v>240</v>
      </c>
      <c r="C94" s="127" t="s">
        <v>107</v>
      </c>
      <c r="D94" s="127">
        <v>2.9696E-2</v>
      </c>
      <c r="E94" s="127">
        <v>1902</v>
      </c>
      <c r="F94" s="228">
        <f t="shared" si="10"/>
        <v>56.481791999999999</v>
      </c>
      <c r="G94" s="266"/>
    </row>
    <row r="95" spans="1:7" x14ac:dyDescent="0.25">
      <c r="A95" s="79" t="s">
        <v>89</v>
      </c>
      <c r="B95" s="48" t="s">
        <v>199</v>
      </c>
      <c r="C95" s="127" t="s">
        <v>200</v>
      </c>
      <c r="D95" s="127">
        <v>0.177152</v>
      </c>
      <c r="E95" s="127">
        <v>1902</v>
      </c>
      <c r="F95" s="228">
        <f t="shared" si="10"/>
        <v>336.94310400000001</v>
      </c>
      <c r="G95" s="266"/>
    </row>
    <row r="96" spans="1:7" x14ac:dyDescent="0.25">
      <c r="A96" s="79" t="s">
        <v>89</v>
      </c>
      <c r="B96" s="48" t="s">
        <v>208</v>
      </c>
      <c r="C96" s="127" t="s">
        <v>209</v>
      </c>
      <c r="D96" s="127">
        <v>9.6598400000000001E-2</v>
      </c>
      <c r="E96" s="127">
        <v>1902</v>
      </c>
      <c r="F96" s="228">
        <f t="shared" si="10"/>
        <v>183.7301568</v>
      </c>
      <c r="G96" s="266"/>
    </row>
    <row r="97" spans="1:7" x14ac:dyDescent="0.25">
      <c r="A97" s="77" t="s">
        <v>132</v>
      </c>
      <c r="B97" s="251" t="s">
        <v>36</v>
      </c>
      <c r="C97" s="47"/>
      <c r="D97" s="47"/>
      <c r="E97" s="47"/>
      <c r="F97" s="257">
        <f>SUM(F98:F104)</f>
        <v>51297.095203199999</v>
      </c>
      <c r="G97" s="266"/>
    </row>
    <row r="98" spans="1:7" x14ac:dyDescent="0.25">
      <c r="A98" s="79" t="s">
        <v>89</v>
      </c>
      <c r="B98" s="48" t="s">
        <v>192</v>
      </c>
      <c r="C98" s="127" t="s">
        <v>107</v>
      </c>
      <c r="D98" s="127">
        <v>21.46144</v>
      </c>
      <c r="E98" s="127">
        <v>1902</v>
      </c>
      <c r="F98" s="228">
        <f t="shared" ref="F98:F104" si="11">D98*E98</f>
        <v>40819.658880000003</v>
      </c>
      <c r="G98" s="266"/>
    </row>
    <row r="99" spans="1:7" x14ac:dyDescent="0.25">
      <c r="A99" s="79" t="s">
        <v>89</v>
      </c>
      <c r="B99" s="48" t="s">
        <v>193</v>
      </c>
      <c r="C99" s="127" t="s">
        <v>200</v>
      </c>
      <c r="D99" s="127">
        <v>0.47520000000000001</v>
      </c>
      <c r="E99" s="127">
        <v>1902</v>
      </c>
      <c r="F99" s="228">
        <f t="shared" si="11"/>
        <v>903.83040000000005</v>
      </c>
      <c r="G99" s="266"/>
    </row>
    <row r="100" spans="1:7" x14ac:dyDescent="0.25">
      <c r="A100" s="79" t="s">
        <v>89</v>
      </c>
      <c r="B100" s="48" t="s">
        <v>236</v>
      </c>
      <c r="C100" s="127" t="s">
        <v>107</v>
      </c>
      <c r="D100" s="127">
        <v>9.5007999999999995E-2</v>
      </c>
      <c r="E100" s="127">
        <v>1902</v>
      </c>
      <c r="F100" s="228">
        <f t="shared" si="11"/>
        <v>180.70521599999998</v>
      </c>
      <c r="G100" s="266"/>
    </row>
    <row r="101" spans="1:7" x14ac:dyDescent="0.25">
      <c r="A101" s="79" t="s">
        <v>89</v>
      </c>
      <c r="B101" s="48" t="s">
        <v>207</v>
      </c>
      <c r="C101" s="127" t="s">
        <v>107</v>
      </c>
      <c r="D101" s="127">
        <v>0.96511999999999998</v>
      </c>
      <c r="E101" s="127">
        <v>1902</v>
      </c>
      <c r="F101" s="228">
        <f t="shared" si="11"/>
        <v>1835.65824</v>
      </c>
      <c r="G101" s="266"/>
    </row>
    <row r="102" spans="1:7" x14ac:dyDescent="0.25">
      <c r="A102" s="79" t="s">
        <v>89</v>
      </c>
      <c r="B102" s="48" t="s">
        <v>240</v>
      </c>
      <c r="C102" s="127" t="s">
        <v>107</v>
      </c>
      <c r="D102" s="127">
        <v>0.386048</v>
      </c>
      <c r="E102" s="127">
        <v>1902</v>
      </c>
      <c r="F102" s="228">
        <f t="shared" si="11"/>
        <v>734.26329599999997</v>
      </c>
      <c r="G102" s="266"/>
    </row>
    <row r="103" spans="1:7" x14ac:dyDescent="0.25">
      <c r="A103" s="79" t="s">
        <v>89</v>
      </c>
      <c r="B103" s="48" t="s">
        <v>199</v>
      </c>
      <c r="C103" s="127" t="s">
        <v>200</v>
      </c>
      <c r="D103" s="127">
        <v>2.3029760000000001</v>
      </c>
      <c r="E103" s="127">
        <v>1902</v>
      </c>
      <c r="F103" s="228">
        <f t="shared" si="11"/>
        <v>4380.2603520000002</v>
      </c>
      <c r="G103" s="266"/>
    </row>
    <row r="104" spans="1:7" x14ac:dyDescent="0.25">
      <c r="A104" s="79" t="s">
        <v>89</v>
      </c>
      <c r="B104" s="48" t="s">
        <v>208</v>
      </c>
      <c r="C104" s="127" t="s">
        <v>209</v>
      </c>
      <c r="D104" s="127">
        <v>1.2842895999999999</v>
      </c>
      <c r="E104" s="127">
        <v>1902</v>
      </c>
      <c r="F104" s="228">
        <f t="shared" si="11"/>
        <v>2442.7188191999999</v>
      </c>
      <c r="G104" s="266"/>
    </row>
    <row r="105" spans="1:7" x14ac:dyDescent="0.25">
      <c r="A105" s="77" t="s">
        <v>133</v>
      </c>
      <c r="B105" s="251" t="s">
        <v>37</v>
      </c>
      <c r="C105" s="47"/>
      <c r="D105" s="47"/>
      <c r="E105" s="47"/>
      <c r="F105" s="257">
        <f>SUM(F106:F110)</f>
        <v>9645.8332320000027</v>
      </c>
      <c r="G105" s="266"/>
    </row>
    <row r="106" spans="1:7" x14ac:dyDescent="0.25">
      <c r="A106" s="79" t="s">
        <v>89</v>
      </c>
      <c r="B106" s="48" t="s">
        <v>192</v>
      </c>
      <c r="C106" s="127" t="s">
        <v>107</v>
      </c>
      <c r="D106" s="127">
        <v>4.1272000000000002</v>
      </c>
      <c r="E106" s="127">
        <v>1902</v>
      </c>
      <c r="F106" s="228">
        <f t="shared" ref="F106:F110" si="12">D106*E106</f>
        <v>7849.9344000000001</v>
      </c>
      <c r="G106" s="266"/>
    </row>
    <row r="107" spans="1:7" x14ac:dyDescent="0.25">
      <c r="A107" s="79" t="s">
        <v>89</v>
      </c>
      <c r="B107" s="48" t="s">
        <v>207</v>
      </c>
      <c r="C107" s="127" t="s">
        <v>107</v>
      </c>
      <c r="D107" s="127">
        <v>0.18559999999999999</v>
      </c>
      <c r="E107" s="127">
        <v>1902</v>
      </c>
      <c r="F107" s="228">
        <f t="shared" si="12"/>
        <v>353.01119999999997</v>
      </c>
      <c r="G107" s="266"/>
    </row>
    <row r="108" spans="1:7" x14ac:dyDescent="0.25">
      <c r="A108" s="79" t="s">
        <v>89</v>
      </c>
      <c r="B108" s="48" t="s">
        <v>240</v>
      </c>
      <c r="C108" s="127" t="s">
        <v>107</v>
      </c>
      <c r="D108" s="127">
        <v>7.424E-2</v>
      </c>
      <c r="E108" s="127">
        <v>1902</v>
      </c>
      <c r="F108" s="228">
        <f t="shared" si="12"/>
        <v>141.20447999999999</v>
      </c>
      <c r="G108" s="266"/>
    </row>
    <row r="109" spans="1:7" x14ac:dyDescent="0.25">
      <c r="A109" s="79" t="s">
        <v>89</v>
      </c>
      <c r="B109" s="48" t="s">
        <v>199</v>
      </c>
      <c r="C109" s="127" t="s">
        <v>200</v>
      </c>
      <c r="D109" s="127">
        <v>0.44288</v>
      </c>
      <c r="E109" s="127">
        <v>1902</v>
      </c>
      <c r="F109" s="228">
        <f t="shared" si="12"/>
        <v>842.35775999999998</v>
      </c>
      <c r="G109" s="266"/>
    </row>
    <row r="110" spans="1:7" x14ac:dyDescent="0.25">
      <c r="A110" s="79" t="s">
        <v>89</v>
      </c>
      <c r="B110" s="48" t="s">
        <v>208</v>
      </c>
      <c r="C110" s="127" t="s">
        <v>209</v>
      </c>
      <c r="D110" s="127">
        <v>0.24149599999999999</v>
      </c>
      <c r="E110" s="127">
        <v>1902</v>
      </c>
      <c r="F110" s="228">
        <f t="shared" si="12"/>
        <v>459.32539199999997</v>
      </c>
      <c r="G110" s="266"/>
    </row>
    <row r="111" spans="1:7" ht="31.5" x14ac:dyDescent="0.25">
      <c r="A111" s="77" t="s">
        <v>134</v>
      </c>
      <c r="B111" s="251" t="s">
        <v>38</v>
      </c>
      <c r="C111" s="47"/>
      <c r="D111" s="47"/>
      <c r="E111" s="47"/>
      <c r="F111" s="257">
        <f>SUM(F112:F120)</f>
        <v>3177.7535663999997</v>
      </c>
      <c r="G111" s="266"/>
    </row>
    <row r="112" spans="1:7" x14ac:dyDescent="0.25">
      <c r="A112" s="79" t="s">
        <v>89</v>
      </c>
      <c r="B112" s="48" t="s">
        <v>192</v>
      </c>
      <c r="C112" s="127" t="s">
        <v>107</v>
      </c>
      <c r="D112" s="127">
        <v>0.82543999999999995</v>
      </c>
      <c r="E112" s="127">
        <v>1902</v>
      </c>
      <c r="F112" s="228">
        <f t="shared" ref="F112:F120" si="13">D112*E112</f>
        <v>1569.9868799999999</v>
      </c>
      <c r="G112" s="266"/>
    </row>
    <row r="113" spans="1:7" x14ac:dyDescent="0.25">
      <c r="A113" s="79" t="s">
        <v>89</v>
      </c>
      <c r="B113" s="48" t="s">
        <v>193</v>
      </c>
      <c r="C113" s="127" t="s">
        <v>200</v>
      </c>
      <c r="D113" s="127">
        <v>0.32</v>
      </c>
      <c r="E113" s="127">
        <v>1902</v>
      </c>
      <c r="F113" s="228">
        <f t="shared" si="13"/>
        <v>608.64</v>
      </c>
      <c r="G113" s="266"/>
    </row>
    <row r="114" spans="1:7" x14ac:dyDescent="0.25">
      <c r="A114" s="79" t="s">
        <v>89</v>
      </c>
      <c r="B114" s="48" t="s">
        <v>236</v>
      </c>
      <c r="C114" s="127" t="s">
        <v>107</v>
      </c>
      <c r="D114" s="127">
        <v>6.4000000000000001E-2</v>
      </c>
      <c r="E114" s="127">
        <v>1902</v>
      </c>
      <c r="F114" s="228">
        <f t="shared" si="13"/>
        <v>121.72800000000001</v>
      </c>
      <c r="G114" s="266"/>
    </row>
    <row r="115" spans="1:7" x14ac:dyDescent="0.25">
      <c r="A115" s="79" t="s">
        <v>89</v>
      </c>
      <c r="B115" s="48" t="s">
        <v>207</v>
      </c>
      <c r="C115" s="127" t="s">
        <v>107</v>
      </c>
      <c r="D115" s="127">
        <v>3.712E-2</v>
      </c>
      <c r="E115" s="127">
        <v>1902</v>
      </c>
      <c r="F115" s="228">
        <f t="shared" si="13"/>
        <v>70.602239999999995</v>
      </c>
      <c r="G115" s="266"/>
    </row>
    <row r="116" spans="1:7" x14ac:dyDescent="0.25">
      <c r="A116" s="79" t="s">
        <v>89</v>
      </c>
      <c r="B116" s="48" t="s">
        <v>263</v>
      </c>
      <c r="C116" s="127" t="s">
        <v>107</v>
      </c>
      <c r="D116" s="127">
        <v>1.4848E-2</v>
      </c>
      <c r="E116" s="127">
        <v>1902</v>
      </c>
      <c r="F116" s="228">
        <f t="shared" si="13"/>
        <v>28.240895999999999</v>
      </c>
      <c r="G116" s="266"/>
    </row>
    <row r="117" spans="1:7" x14ac:dyDescent="0.25">
      <c r="A117" s="79" t="s">
        <v>89</v>
      </c>
      <c r="B117" s="48" t="s">
        <v>199</v>
      </c>
      <c r="C117" s="127" t="s">
        <v>200</v>
      </c>
      <c r="D117" s="127">
        <v>8.8576000000000002E-2</v>
      </c>
      <c r="E117" s="127">
        <v>1902</v>
      </c>
      <c r="F117" s="228">
        <f t="shared" si="13"/>
        <v>168.471552</v>
      </c>
      <c r="G117" s="266"/>
    </row>
    <row r="118" spans="1:7" x14ac:dyDescent="0.25">
      <c r="A118" s="79" t="s">
        <v>89</v>
      </c>
      <c r="B118" s="48" t="s">
        <v>241</v>
      </c>
      <c r="C118" s="127" t="s">
        <v>107</v>
      </c>
      <c r="D118" s="127">
        <v>3.3599999999999998E-2</v>
      </c>
      <c r="E118" s="127">
        <v>1902</v>
      </c>
      <c r="F118" s="228">
        <f t="shared" si="13"/>
        <v>63.907199999999996</v>
      </c>
      <c r="G118" s="266"/>
    </row>
    <row r="119" spans="1:7" x14ac:dyDescent="0.25">
      <c r="A119" s="79" t="s">
        <v>89</v>
      </c>
      <c r="B119" s="48" t="s">
        <v>251</v>
      </c>
      <c r="C119" s="127" t="s">
        <v>107</v>
      </c>
      <c r="D119" s="127">
        <v>0.20760000000000001</v>
      </c>
      <c r="E119" s="127">
        <v>1902</v>
      </c>
      <c r="F119" s="228">
        <f t="shared" si="13"/>
        <v>394.85520000000002</v>
      </c>
      <c r="G119" s="266"/>
    </row>
    <row r="120" spans="1:7" x14ac:dyDescent="0.25">
      <c r="A120" s="79" t="s">
        <v>89</v>
      </c>
      <c r="B120" s="48" t="s">
        <v>208</v>
      </c>
      <c r="C120" s="127" t="s">
        <v>209</v>
      </c>
      <c r="D120" s="127">
        <v>7.9559199999999997E-2</v>
      </c>
      <c r="E120" s="127">
        <v>1902</v>
      </c>
      <c r="F120" s="228">
        <f t="shared" si="13"/>
        <v>151.3215984</v>
      </c>
      <c r="G120" s="266"/>
    </row>
    <row r="121" spans="1:7" x14ac:dyDescent="0.25">
      <c r="A121" s="77" t="s">
        <v>135</v>
      </c>
      <c r="B121" s="251" t="s">
        <v>39</v>
      </c>
      <c r="C121" s="47"/>
      <c r="D121" s="47"/>
      <c r="E121" s="47"/>
      <c r="F121" s="257">
        <f>SUM(F122:F126)</f>
        <v>1929.1666463999998</v>
      </c>
      <c r="G121" s="266"/>
    </row>
    <row r="122" spans="1:7" x14ac:dyDescent="0.25">
      <c r="A122" s="79" t="s">
        <v>89</v>
      </c>
      <c r="B122" s="48" t="s">
        <v>192</v>
      </c>
      <c r="C122" s="127" t="s">
        <v>107</v>
      </c>
      <c r="D122" s="127">
        <v>0.82543999999999995</v>
      </c>
      <c r="E122" s="127">
        <v>1902</v>
      </c>
      <c r="F122" s="228">
        <f t="shared" ref="F122:F126" si="14">D122*E122</f>
        <v>1569.9868799999999</v>
      </c>
      <c r="G122" s="266"/>
    </row>
    <row r="123" spans="1:7" x14ac:dyDescent="0.25">
      <c r="A123" s="79" t="s">
        <v>89</v>
      </c>
      <c r="B123" s="48" t="s">
        <v>207</v>
      </c>
      <c r="C123" s="127" t="s">
        <v>107</v>
      </c>
      <c r="D123" s="127">
        <v>3.712E-2</v>
      </c>
      <c r="E123" s="127">
        <v>1902</v>
      </c>
      <c r="F123" s="228">
        <f t="shared" si="14"/>
        <v>70.602239999999995</v>
      </c>
      <c r="G123" s="266"/>
    </row>
    <row r="124" spans="1:7" x14ac:dyDescent="0.25">
      <c r="A124" s="79" t="s">
        <v>89</v>
      </c>
      <c r="B124" s="48" t="s">
        <v>240</v>
      </c>
      <c r="C124" s="127" t="s">
        <v>107</v>
      </c>
      <c r="D124" s="127">
        <v>1.4848E-2</v>
      </c>
      <c r="E124" s="127">
        <v>1902</v>
      </c>
      <c r="F124" s="228">
        <f t="shared" si="14"/>
        <v>28.240895999999999</v>
      </c>
      <c r="G124" s="266"/>
    </row>
    <row r="125" spans="1:7" x14ac:dyDescent="0.25">
      <c r="A125" s="79" t="s">
        <v>89</v>
      </c>
      <c r="B125" s="48" t="s">
        <v>199</v>
      </c>
      <c r="C125" s="127" t="s">
        <v>200</v>
      </c>
      <c r="D125" s="127">
        <v>8.8576000000000002E-2</v>
      </c>
      <c r="E125" s="127">
        <v>1902</v>
      </c>
      <c r="F125" s="228">
        <f t="shared" si="14"/>
        <v>168.471552</v>
      </c>
      <c r="G125" s="266"/>
    </row>
    <row r="126" spans="1:7" x14ac:dyDescent="0.25">
      <c r="A126" s="79" t="s">
        <v>89</v>
      </c>
      <c r="B126" s="48" t="s">
        <v>208</v>
      </c>
      <c r="C126" s="127" t="s">
        <v>209</v>
      </c>
      <c r="D126" s="127">
        <v>4.82992E-2</v>
      </c>
      <c r="E126" s="127">
        <v>1902</v>
      </c>
      <c r="F126" s="228">
        <f t="shared" si="14"/>
        <v>91.865078400000002</v>
      </c>
      <c r="G126" s="266"/>
    </row>
    <row r="127" spans="1:7" ht="31.5" x14ac:dyDescent="0.25">
      <c r="A127" s="77" t="s">
        <v>136</v>
      </c>
      <c r="B127" s="251" t="s">
        <v>40</v>
      </c>
      <c r="C127" s="47"/>
      <c r="D127" s="47"/>
      <c r="E127" s="47"/>
      <c r="F127" s="257">
        <f>SUM(F128:F131)</f>
        <v>842.04126719999999</v>
      </c>
      <c r="G127" s="266"/>
    </row>
    <row r="128" spans="1:7" x14ac:dyDescent="0.25">
      <c r="A128" s="79" t="s">
        <v>89</v>
      </c>
      <c r="B128" s="48" t="s">
        <v>207</v>
      </c>
      <c r="C128" s="127" t="s">
        <v>107</v>
      </c>
      <c r="D128" s="127">
        <v>0.11136</v>
      </c>
      <c r="E128" s="127">
        <v>1902</v>
      </c>
      <c r="F128" s="228">
        <f t="shared" ref="F128:F131" si="15">D128*E128</f>
        <v>211.80672000000001</v>
      </c>
      <c r="G128" s="266"/>
    </row>
    <row r="129" spans="1:7" x14ac:dyDescent="0.25">
      <c r="A129" s="79" t="s">
        <v>89</v>
      </c>
      <c r="B129" s="48" t="s">
        <v>240</v>
      </c>
      <c r="C129" s="127" t="s">
        <v>107</v>
      </c>
      <c r="D129" s="127">
        <v>4.4544E-2</v>
      </c>
      <c r="E129" s="127">
        <v>1902</v>
      </c>
      <c r="F129" s="228">
        <f t="shared" si="15"/>
        <v>84.722688000000005</v>
      </c>
      <c r="G129" s="266"/>
    </row>
    <row r="130" spans="1:7" x14ac:dyDescent="0.25">
      <c r="A130" s="79" t="s">
        <v>89</v>
      </c>
      <c r="B130" s="48" t="s">
        <v>199</v>
      </c>
      <c r="C130" s="127" t="s">
        <v>200</v>
      </c>
      <c r="D130" s="127">
        <v>0.26572800000000002</v>
      </c>
      <c r="E130" s="127">
        <v>1902</v>
      </c>
      <c r="F130" s="228">
        <f t="shared" si="15"/>
        <v>505.41465600000004</v>
      </c>
      <c r="G130" s="266"/>
    </row>
    <row r="131" spans="1:7" x14ac:dyDescent="0.25">
      <c r="A131" s="79" t="s">
        <v>89</v>
      </c>
      <c r="B131" s="48" t="s">
        <v>208</v>
      </c>
      <c r="C131" s="127" t="s">
        <v>209</v>
      </c>
      <c r="D131" s="127">
        <v>2.1081599999999999E-2</v>
      </c>
      <c r="E131" s="127">
        <v>1902</v>
      </c>
      <c r="F131" s="228">
        <f t="shared" si="15"/>
        <v>40.097203199999996</v>
      </c>
      <c r="G131" s="266"/>
    </row>
    <row r="132" spans="1:7" ht="31.5" x14ac:dyDescent="0.25">
      <c r="A132" s="77" t="s">
        <v>137</v>
      </c>
      <c r="B132" s="251" t="s">
        <v>41</v>
      </c>
      <c r="C132" s="47"/>
      <c r="D132" s="47"/>
      <c r="E132" s="47"/>
      <c r="F132" s="257">
        <f>SUM(F133:F139)</f>
        <v>5799.0032351999989</v>
      </c>
      <c r="G132" s="266"/>
    </row>
    <row r="133" spans="1:7" x14ac:dyDescent="0.25">
      <c r="A133" s="79" t="s">
        <v>89</v>
      </c>
      <c r="B133" s="48" t="s">
        <v>192</v>
      </c>
      <c r="C133" s="127" t="s">
        <v>107</v>
      </c>
      <c r="D133" s="127">
        <v>2.4763199999999999</v>
      </c>
      <c r="E133" s="127">
        <v>1902</v>
      </c>
      <c r="F133" s="228">
        <f t="shared" ref="F133:F139" si="16">D133*E133</f>
        <v>4709.9606399999993</v>
      </c>
      <c r="G133" s="266"/>
    </row>
    <row r="134" spans="1:7" x14ac:dyDescent="0.25">
      <c r="A134" s="79" t="s">
        <v>89</v>
      </c>
      <c r="B134" s="48" t="s">
        <v>193</v>
      </c>
      <c r="C134" s="127" t="s">
        <v>200</v>
      </c>
      <c r="D134" s="127">
        <v>4.7999999999999996E-3</v>
      </c>
      <c r="E134" s="127">
        <v>1902</v>
      </c>
      <c r="F134" s="228">
        <f t="shared" si="16"/>
        <v>9.1295999999999999</v>
      </c>
      <c r="G134" s="266"/>
    </row>
    <row r="135" spans="1:7" x14ac:dyDescent="0.25">
      <c r="A135" s="79" t="s">
        <v>89</v>
      </c>
      <c r="B135" s="48" t="s">
        <v>236</v>
      </c>
      <c r="C135" s="127" t="s">
        <v>107</v>
      </c>
      <c r="D135" s="127">
        <v>9.6000000000000002E-4</v>
      </c>
      <c r="E135" s="127">
        <v>1902</v>
      </c>
      <c r="F135" s="228">
        <f t="shared" si="16"/>
        <v>1.82592</v>
      </c>
      <c r="G135" s="266"/>
    </row>
    <row r="136" spans="1:7" x14ac:dyDescent="0.25">
      <c r="A136" s="79" t="s">
        <v>89</v>
      </c>
      <c r="B136" s="48" t="s">
        <v>207</v>
      </c>
      <c r="C136" s="127" t="s">
        <v>107</v>
      </c>
      <c r="D136" s="127">
        <v>0.11136</v>
      </c>
      <c r="E136" s="127">
        <v>1902</v>
      </c>
      <c r="F136" s="228">
        <f t="shared" si="16"/>
        <v>211.80672000000001</v>
      </c>
      <c r="G136" s="266"/>
    </row>
    <row r="137" spans="1:7" x14ac:dyDescent="0.25">
      <c r="A137" s="79" t="s">
        <v>89</v>
      </c>
      <c r="B137" s="48" t="s">
        <v>240</v>
      </c>
      <c r="C137" s="127" t="s">
        <v>107</v>
      </c>
      <c r="D137" s="127">
        <v>4.4544E-2</v>
      </c>
      <c r="E137" s="127">
        <v>1902</v>
      </c>
      <c r="F137" s="228">
        <f t="shared" si="16"/>
        <v>84.722688000000005</v>
      </c>
      <c r="G137" s="266"/>
    </row>
    <row r="138" spans="1:7" x14ac:dyDescent="0.25">
      <c r="A138" s="79" t="s">
        <v>89</v>
      </c>
      <c r="B138" s="48" t="s">
        <v>199</v>
      </c>
      <c r="C138" s="127" t="s">
        <v>200</v>
      </c>
      <c r="D138" s="127">
        <v>0.26572800000000002</v>
      </c>
      <c r="E138" s="127">
        <v>1902</v>
      </c>
      <c r="F138" s="228">
        <f t="shared" si="16"/>
        <v>505.41465600000004</v>
      </c>
      <c r="G138" s="266"/>
    </row>
    <row r="139" spans="1:7" x14ac:dyDescent="0.25">
      <c r="A139" s="79" t="s">
        <v>89</v>
      </c>
      <c r="B139" s="48" t="s">
        <v>208</v>
      </c>
      <c r="C139" s="127" t="s">
        <v>209</v>
      </c>
      <c r="D139" s="127">
        <v>0.1451856</v>
      </c>
      <c r="E139" s="127">
        <v>1902</v>
      </c>
      <c r="F139" s="228">
        <f t="shared" si="16"/>
        <v>276.14301119999999</v>
      </c>
      <c r="G139" s="266"/>
    </row>
    <row r="140" spans="1:7" x14ac:dyDescent="0.25">
      <c r="A140" s="78" t="s">
        <v>138</v>
      </c>
      <c r="B140" s="143" t="s">
        <v>42</v>
      </c>
      <c r="C140" s="127"/>
      <c r="D140" s="127"/>
      <c r="E140" s="127"/>
      <c r="F140" s="228"/>
      <c r="G140" s="266" t="s">
        <v>271</v>
      </c>
    </row>
    <row r="141" spans="1:7" x14ac:dyDescent="0.25">
      <c r="A141" s="77" t="s">
        <v>139</v>
      </c>
      <c r="B141" s="251" t="s">
        <v>43</v>
      </c>
      <c r="C141" s="47"/>
      <c r="D141" s="47"/>
      <c r="E141" s="47"/>
      <c r="F141" s="257">
        <f>SUM(F142:F147)</f>
        <v>197.47324800000001</v>
      </c>
      <c r="G141" s="266"/>
    </row>
    <row r="142" spans="1:7" x14ac:dyDescent="0.25">
      <c r="A142" s="79" t="s">
        <v>89</v>
      </c>
      <c r="B142" s="48" t="s">
        <v>193</v>
      </c>
      <c r="C142" s="127" t="s">
        <v>200</v>
      </c>
      <c r="D142" s="127">
        <v>7.6799999999999993E-2</v>
      </c>
      <c r="E142" s="127">
        <v>1902</v>
      </c>
      <c r="F142" s="228">
        <f t="shared" ref="F142:F147" si="17">D142*E142</f>
        <v>146.0736</v>
      </c>
      <c r="G142" s="266"/>
    </row>
    <row r="143" spans="1:7" x14ac:dyDescent="0.25">
      <c r="A143" s="79" t="s">
        <v>89</v>
      </c>
      <c r="B143" s="48" t="s">
        <v>236</v>
      </c>
      <c r="C143" s="127" t="s">
        <v>107</v>
      </c>
      <c r="D143" s="127">
        <v>4.7999999999999996E-3</v>
      </c>
      <c r="E143" s="127">
        <v>1902</v>
      </c>
      <c r="F143" s="228">
        <f t="shared" si="17"/>
        <v>9.1295999999999999</v>
      </c>
      <c r="G143" s="266"/>
    </row>
    <row r="144" spans="1:7" x14ac:dyDescent="0.25">
      <c r="A144" s="79" t="s">
        <v>89</v>
      </c>
      <c r="B144" s="48" t="s">
        <v>207</v>
      </c>
      <c r="C144" s="127" t="s">
        <v>107</v>
      </c>
      <c r="D144" s="127">
        <v>4.7999999999999996E-3</v>
      </c>
      <c r="E144" s="127">
        <v>1902</v>
      </c>
      <c r="F144" s="228">
        <f t="shared" si="17"/>
        <v>9.1295999999999999</v>
      </c>
      <c r="G144" s="266"/>
    </row>
    <row r="145" spans="1:7" x14ac:dyDescent="0.25">
      <c r="A145" s="79" t="s">
        <v>89</v>
      </c>
      <c r="B145" s="48" t="s">
        <v>240</v>
      </c>
      <c r="C145" s="127" t="s">
        <v>107</v>
      </c>
      <c r="D145" s="127">
        <v>1.92E-3</v>
      </c>
      <c r="E145" s="127">
        <v>1902</v>
      </c>
      <c r="F145" s="228">
        <f t="shared" si="17"/>
        <v>3.65184</v>
      </c>
      <c r="G145" s="266"/>
    </row>
    <row r="146" spans="1:7" x14ac:dyDescent="0.25">
      <c r="A146" s="79" t="s">
        <v>89</v>
      </c>
      <c r="B146" s="48" t="s">
        <v>199</v>
      </c>
      <c r="C146" s="127" t="s">
        <v>200</v>
      </c>
      <c r="D146" s="127">
        <v>1.056E-2</v>
      </c>
      <c r="E146" s="127">
        <v>1902</v>
      </c>
      <c r="F146" s="228">
        <f t="shared" si="17"/>
        <v>20.08512</v>
      </c>
      <c r="G146" s="266"/>
    </row>
    <row r="147" spans="1:7" x14ac:dyDescent="0.25">
      <c r="A147" s="79" t="s">
        <v>89</v>
      </c>
      <c r="B147" s="48" t="s">
        <v>208</v>
      </c>
      <c r="C147" s="127" t="s">
        <v>209</v>
      </c>
      <c r="D147" s="127">
        <v>4.9439999999999996E-3</v>
      </c>
      <c r="E147" s="127">
        <v>1902</v>
      </c>
      <c r="F147" s="228">
        <f t="shared" si="17"/>
        <v>9.4034879999999994</v>
      </c>
      <c r="G147" s="266"/>
    </row>
    <row r="148" spans="1:7" ht="47.25" x14ac:dyDescent="0.25">
      <c r="A148" s="77" t="s">
        <v>140</v>
      </c>
      <c r="B148" s="251" t="s">
        <v>44</v>
      </c>
      <c r="C148" s="47"/>
      <c r="D148" s="47"/>
      <c r="E148" s="47"/>
      <c r="F148" s="257">
        <f>SUM(F149:F155)</f>
        <v>334.13879520000006</v>
      </c>
      <c r="G148" s="266"/>
    </row>
    <row r="149" spans="1:7" x14ac:dyDescent="0.25">
      <c r="A149" s="79" t="s">
        <v>89</v>
      </c>
      <c r="B149" s="48" t="s">
        <v>192</v>
      </c>
      <c r="C149" s="127" t="s">
        <v>107</v>
      </c>
      <c r="D149" s="127">
        <v>7.0400000000000004E-2</v>
      </c>
      <c r="E149" s="127">
        <v>1902</v>
      </c>
      <c r="F149" s="228">
        <f t="shared" ref="F149:F155" si="18">D149*E149</f>
        <v>133.9008</v>
      </c>
      <c r="G149" s="266"/>
    </row>
    <row r="150" spans="1:7" x14ac:dyDescent="0.25">
      <c r="A150" s="79" t="s">
        <v>89</v>
      </c>
      <c r="B150" s="48" t="s">
        <v>193</v>
      </c>
      <c r="C150" s="127" t="s">
        <v>200</v>
      </c>
      <c r="D150" s="127">
        <v>5.7599999999999998E-2</v>
      </c>
      <c r="E150" s="127">
        <v>1902</v>
      </c>
      <c r="F150" s="228">
        <f t="shared" si="18"/>
        <v>109.5552</v>
      </c>
      <c r="G150" s="266"/>
    </row>
    <row r="151" spans="1:7" x14ac:dyDescent="0.25">
      <c r="A151" s="79" t="s">
        <v>89</v>
      </c>
      <c r="B151" s="48" t="s">
        <v>266</v>
      </c>
      <c r="C151" s="127" t="s">
        <v>107</v>
      </c>
      <c r="D151" s="127">
        <v>9.6000000000000002E-4</v>
      </c>
      <c r="E151" s="127">
        <v>1902</v>
      </c>
      <c r="F151" s="228">
        <f t="shared" si="18"/>
        <v>1.82592</v>
      </c>
      <c r="G151" s="266"/>
    </row>
    <row r="152" spans="1:7" x14ac:dyDescent="0.25">
      <c r="A152" s="79" t="s">
        <v>89</v>
      </c>
      <c r="B152" s="48" t="s">
        <v>207</v>
      </c>
      <c r="C152" s="127" t="s">
        <v>107</v>
      </c>
      <c r="D152" s="127">
        <v>1.848E-2</v>
      </c>
      <c r="E152" s="127">
        <v>1902</v>
      </c>
      <c r="F152" s="228">
        <f t="shared" si="18"/>
        <v>35.148960000000002</v>
      </c>
      <c r="G152" s="266"/>
    </row>
    <row r="153" spans="1:7" x14ac:dyDescent="0.25">
      <c r="A153" s="79" t="s">
        <v>89</v>
      </c>
      <c r="B153" s="48" t="s">
        <v>240</v>
      </c>
      <c r="C153" s="127" t="s">
        <v>107</v>
      </c>
      <c r="D153" s="127">
        <v>1.248E-2</v>
      </c>
      <c r="E153" s="127">
        <v>1902</v>
      </c>
      <c r="F153" s="228">
        <f t="shared" si="18"/>
        <v>23.73696</v>
      </c>
      <c r="G153" s="266"/>
    </row>
    <row r="154" spans="1:7" x14ac:dyDescent="0.25">
      <c r="A154" s="79" t="s">
        <v>89</v>
      </c>
      <c r="B154" s="48" t="s">
        <v>199</v>
      </c>
      <c r="C154" s="127" t="s">
        <v>200</v>
      </c>
      <c r="D154" s="127">
        <v>7.3920000000000001E-3</v>
      </c>
      <c r="E154" s="127">
        <v>1902</v>
      </c>
      <c r="F154" s="228">
        <f t="shared" si="18"/>
        <v>14.059584000000001</v>
      </c>
      <c r="G154" s="266"/>
    </row>
    <row r="155" spans="1:7" x14ac:dyDescent="0.25">
      <c r="A155" s="79" t="s">
        <v>89</v>
      </c>
      <c r="B155" s="48" t="s">
        <v>208</v>
      </c>
      <c r="C155" s="127" t="s">
        <v>209</v>
      </c>
      <c r="D155" s="127">
        <v>8.3656000000000008E-3</v>
      </c>
      <c r="E155" s="127">
        <v>1902</v>
      </c>
      <c r="F155" s="228">
        <f t="shared" si="18"/>
        <v>15.911371200000001</v>
      </c>
      <c r="G155" s="266"/>
    </row>
    <row r="156" spans="1:7" ht="38.25" x14ac:dyDescent="0.25">
      <c r="A156" s="77" t="s">
        <v>141</v>
      </c>
      <c r="B156" s="251" t="s">
        <v>45</v>
      </c>
      <c r="C156" s="47"/>
      <c r="D156" s="47"/>
      <c r="E156" s="47"/>
      <c r="F156" s="257">
        <v>0</v>
      </c>
      <c r="G156" s="189" t="s">
        <v>549</v>
      </c>
    </row>
    <row r="157" spans="1:7" x14ac:dyDescent="0.25">
      <c r="A157" s="77" t="s">
        <v>142</v>
      </c>
      <c r="B157" s="251" t="s">
        <v>46</v>
      </c>
      <c r="C157" s="47"/>
      <c r="D157" s="47"/>
      <c r="E157" s="47"/>
      <c r="F157" s="257">
        <f>SUM(F158:F161)</f>
        <v>179.45141760000001</v>
      </c>
      <c r="G157" s="266"/>
    </row>
    <row r="158" spans="1:7" x14ac:dyDescent="0.25">
      <c r="A158" s="79" t="s">
        <v>89</v>
      </c>
      <c r="B158" s="48" t="s">
        <v>207</v>
      </c>
      <c r="C158" s="127" t="s">
        <v>107</v>
      </c>
      <c r="D158" s="127">
        <v>2.496E-2</v>
      </c>
      <c r="E158" s="127">
        <v>1902</v>
      </c>
      <c r="F158" s="228">
        <f t="shared" ref="F158:F161" si="19">D158*E158</f>
        <v>47.47392</v>
      </c>
      <c r="G158" s="266"/>
    </row>
    <row r="159" spans="1:7" x14ac:dyDescent="0.25">
      <c r="A159" s="79" t="s">
        <v>89</v>
      </c>
      <c r="B159" s="48" t="s">
        <v>240</v>
      </c>
      <c r="C159" s="127" t="s">
        <v>107</v>
      </c>
      <c r="D159" s="127">
        <v>9.9839999999999998E-3</v>
      </c>
      <c r="E159" s="127">
        <v>1902</v>
      </c>
      <c r="F159" s="228">
        <f t="shared" si="19"/>
        <v>18.989567999999998</v>
      </c>
      <c r="G159" s="266"/>
    </row>
    <row r="160" spans="1:7" x14ac:dyDescent="0.25">
      <c r="A160" s="79" t="s">
        <v>89</v>
      </c>
      <c r="B160" s="48" t="s">
        <v>199</v>
      </c>
      <c r="C160" s="127" t="s">
        <v>200</v>
      </c>
      <c r="D160" s="127">
        <v>5.4912000000000002E-2</v>
      </c>
      <c r="E160" s="127">
        <v>1902</v>
      </c>
      <c r="F160" s="228">
        <f t="shared" si="19"/>
        <v>104.44262400000001</v>
      </c>
      <c r="G160" s="266"/>
    </row>
    <row r="161" spans="1:7" x14ac:dyDescent="0.25">
      <c r="A161" s="79" t="s">
        <v>89</v>
      </c>
      <c r="B161" s="48" t="s">
        <v>208</v>
      </c>
      <c r="C161" s="127" t="s">
        <v>209</v>
      </c>
      <c r="D161" s="127">
        <v>4.4927999999999999E-3</v>
      </c>
      <c r="E161" s="127">
        <v>1902</v>
      </c>
      <c r="F161" s="228">
        <f t="shared" si="19"/>
        <v>8.5453056000000007</v>
      </c>
      <c r="G161" s="266"/>
    </row>
    <row r="162" spans="1:7" x14ac:dyDescent="0.25">
      <c r="A162" s="77" t="s">
        <v>143</v>
      </c>
      <c r="B162" s="251" t="s">
        <v>47</v>
      </c>
      <c r="C162" s="47"/>
      <c r="D162" s="47"/>
      <c r="E162" s="47"/>
      <c r="F162" s="257">
        <v>0</v>
      </c>
      <c r="G162" s="266" t="s">
        <v>54</v>
      </c>
    </row>
    <row r="163" spans="1:7" x14ac:dyDescent="0.25">
      <c r="A163" s="78" t="s">
        <v>144</v>
      </c>
      <c r="B163" s="143" t="s">
        <v>48</v>
      </c>
      <c r="C163" s="127"/>
      <c r="D163" s="127"/>
      <c r="E163" s="127"/>
      <c r="F163" s="228"/>
      <c r="G163" s="266"/>
    </row>
    <row r="164" spans="1:7" x14ac:dyDescent="0.25">
      <c r="A164" s="77" t="s">
        <v>145</v>
      </c>
      <c r="B164" s="251" t="s">
        <v>48</v>
      </c>
      <c r="C164" s="276"/>
      <c r="D164" s="47"/>
      <c r="E164" s="47"/>
      <c r="F164" s="257">
        <f>SUM(F165:F171)</f>
        <v>1174.2947999999999</v>
      </c>
      <c r="G164" s="266"/>
    </row>
    <row r="165" spans="1:7" x14ac:dyDescent="0.25">
      <c r="A165" s="79" t="s">
        <v>89</v>
      </c>
      <c r="B165" s="48" t="s">
        <v>192</v>
      </c>
      <c r="C165" s="127" t="s">
        <v>107</v>
      </c>
      <c r="D165" s="127">
        <v>0.35199999999999998</v>
      </c>
      <c r="E165" s="127">
        <v>1902</v>
      </c>
      <c r="F165" s="228">
        <f t="shared" ref="F165:F171" si="20">D165*E165</f>
        <v>669.50399999999991</v>
      </c>
      <c r="G165" s="266"/>
    </row>
    <row r="166" spans="1:7" x14ac:dyDescent="0.25">
      <c r="A166" s="79" t="s">
        <v>89</v>
      </c>
      <c r="B166" s="48" t="s">
        <v>207</v>
      </c>
      <c r="C166" s="127" t="s">
        <v>107</v>
      </c>
      <c r="D166" s="127">
        <v>1.6E-2</v>
      </c>
      <c r="E166" s="127">
        <v>1902</v>
      </c>
      <c r="F166" s="228">
        <f t="shared" si="20"/>
        <v>30.432000000000002</v>
      </c>
      <c r="G166" s="266"/>
    </row>
    <row r="167" spans="1:7" x14ac:dyDescent="0.25">
      <c r="A167" s="79" t="s">
        <v>89</v>
      </c>
      <c r="B167" s="48" t="s">
        <v>240</v>
      </c>
      <c r="C167" s="127" t="s">
        <v>107</v>
      </c>
      <c r="D167" s="127">
        <v>6.4000000000000003E-3</v>
      </c>
      <c r="E167" s="127">
        <v>1902</v>
      </c>
      <c r="F167" s="228">
        <f t="shared" si="20"/>
        <v>12.172800000000001</v>
      </c>
      <c r="G167" s="266"/>
    </row>
    <row r="168" spans="1:7" x14ac:dyDescent="0.25">
      <c r="A168" s="79" t="s">
        <v>89</v>
      </c>
      <c r="B168" s="48" t="s">
        <v>199</v>
      </c>
      <c r="C168" s="127" t="s">
        <v>200</v>
      </c>
      <c r="D168" s="127">
        <v>4.1599999999999998E-2</v>
      </c>
      <c r="E168" s="127">
        <v>1902</v>
      </c>
      <c r="F168" s="228">
        <f t="shared" si="20"/>
        <v>79.123199999999997</v>
      </c>
      <c r="G168" s="266"/>
    </row>
    <row r="169" spans="1:7" x14ac:dyDescent="0.25">
      <c r="A169" s="79" t="s">
        <v>89</v>
      </c>
      <c r="B169" s="48" t="s">
        <v>241</v>
      </c>
      <c r="C169" s="127" t="s">
        <v>107</v>
      </c>
      <c r="D169" s="127">
        <v>0.16</v>
      </c>
      <c r="E169" s="127">
        <v>1902</v>
      </c>
      <c r="F169" s="228">
        <f t="shared" si="20"/>
        <v>304.32</v>
      </c>
      <c r="G169" s="266"/>
    </row>
    <row r="170" spans="1:7" x14ac:dyDescent="0.25">
      <c r="A170" s="79" t="s">
        <v>89</v>
      </c>
      <c r="B170" s="48" t="s">
        <v>251</v>
      </c>
      <c r="C170" s="127" t="s">
        <v>107</v>
      </c>
      <c r="D170" s="127">
        <v>1.2E-2</v>
      </c>
      <c r="E170" s="127">
        <v>1902</v>
      </c>
      <c r="F170" s="228">
        <f t="shared" si="20"/>
        <v>22.824000000000002</v>
      </c>
      <c r="G170" s="266"/>
    </row>
    <row r="171" spans="1:7" x14ac:dyDescent="0.25">
      <c r="A171" s="79" t="s">
        <v>89</v>
      </c>
      <c r="B171" s="48" t="s">
        <v>208</v>
      </c>
      <c r="C171" s="127" t="s">
        <v>209</v>
      </c>
      <c r="D171" s="127">
        <v>2.9399999999999999E-2</v>
      </c>
      <c r="E171" s="127">
        <v>1902</v>
      </c>
      <c r="F171" s="228">
        <f t="shared" si="20"/>
        <v>55.918799999999997</v>
      </c>
      <c r="G171" s="266"/>
    </row>
    <row r="172" spans="1:7" x14ac:dyDescent="0.25">
      <c r="A172" s="77" t="s">
        <v>146</v>
      </c>
      <c r="B172" s="251" t="s">
        <v>49</v>
      </c>
      <c r="C172" s="276"/>
      <c r="D172" s="47"/>
      <c r="E172" s="47"/>
      <c r="F172" s="257">
        <f>SUM(F173:F179)</f>
        <v>2079.5402880000001</v>
      </c>
      <c r="G172" s="266"/>
    </row>
    <row r="173" spans="1:7" x14ac:dyDescent="0.25">
      <c r="A173" s="79" t="s">
        <v>89</v>
      </c>
      <c r="B173" s="48" t="s">
        <v>192</v>
      </c>
      <c r="C173" s="127" t="s">
        <v>107</v>
      </c>
      <c r="D173" s="127">
        <v>0.52800000000000002</v>
      </c>
      <c r="E173" s="127">
        <v>1902</v>
      </c>
      <c r="F173" s="228">
        <f t="shared" ref="F173:F179" si="21">D173*E173</f>
        <v>1004.2560000000001</v>
      </c>
      <c r="G173" s="266"/>
    </row>
    <row r="174" spans="1:7" x14ac:dyDescent="0.25">
      <c r="A174" s="79" t="s">
        <v>89</v>
      </c>
      <c r="B174" s="48" t="s">
        <v>193</v>
      </c>
      <c r="C174" s="127" t="s">
        <v>200</v>
      </c>
      <c r="D174" s="127">
        <v>0.38400000000000001</v>
      </c>
      <c r="E174" s="127">
        <v>1902</v>
      </c>
      <c r="F174" s="228">
        <f t="shared" si="21"/>
        <v>730.36800000000005</v>
      </c>
      <c r="G174" s="266"/>
    </row>
    <row r="175" spans="1:7" x14ac:dyDescent="0.25">
      <c r="A175" s="79" t="s">
        <v>89</v>
      </c>
      <c r="B175" s="48" t="s">
        <v>236</v>
      </c>
      <c r="C175" s="127" t="s">
        <v>107</v>
      </c>
      <c r="D175" s="127">
        <v>3.2000000000000001E-2</v>
      </c>
      <c r="E175" s="127">
        <v>1902</v>
      </c>
      <c r="F175" s="228">
        <f t="shared" si="21"/>
        <v>60.864000000000004</v>
      </c>
      <c r="G175" s="266"/>
    </row>
    <row r="176" spans="1:7" x14ac:dyDescent="0.25">
      <c r="A176" s="79" t="s">
        <v>89</v>
      </c>
      <c r="B176" s="48" t="s">
        <v>207</v>
      </c>
      <c r="C176" s="127" t="s">
        <v>107</v>
      </c>
      <c r="D176" s="127">
        <v>2.5600000000000001E-2</v>
      </c>
      <c r="E176" s="127">
        <v>1902</v>
      </c>
      <c r="F176" s="228">
        <f t="shared" si="21"/>
        <v>48.691200000000002</v>
      </c>
      <c r="G176" s="266"/>
    </row>
    <row r="177" spans="1:7" x14ac:dyDescent="0.25">
      <c r="A177" s="79" t="s">
        <v>89</v>
      </c>
      <c r="B177" s="48" t="s">
        <v>240</v>
      </c>
      <c r="C177" s="127" t="s">
        <v>107</v>
      </c>
      <c r="D177" s="127">
        <v>1.0240000000000001E-2</v>
      </c>
      <c r="E177" s="127">
        <v>1902</v>
      </c>
      <c r="F177" s="228">
        <f t="shared" si="21"/>
        <v>19.476480000000002</v>
      </c>
      <c r="G177" s="266"/>
    </row>
    <row r="178" spans="1:7" x14ac:dyDescent="0.25">
      <c r="A178" s="79" t="s">
        <v>89</v>
      </c>
      <c r="B178" s="48" t="s">
        <v>199</v>
      </c>
      <c r="C178" s="127" t="s">
        <v>200</v>
      </c>
      <c r="D178" s="127">
        <v>6.1440000000000002E-2</v>
      </c>
      <c r="E178" s="127">
        <v>1902</v>
      </c>
      <c r="F178" s="228">
        <f t="shared" si="21"/>
        <v>116.85888</v>
      </c>
      <c r="G178" s="266"/>
    </row>
    <row r="179" spans="1:7" x14ac:dyDescent="0.25">
      <c r="A179" s="79" t="s">
        <v>89</v>
      </c>
      <c r="B179" s="48" t="s">
        <v>208</v>
      </c>
      <c r="C179" s="127" t="s">
        <v>209</v>
      </c>
      <c r="D179" s="127">
        <v>5.2063999999999999E-2</v>
      </c>
      <c r="E179" s="127">
        <v>1902</v>
      </c>
      <c r="F179" s="228">
        <f t="shared" si="21"/>
        <v>99.025728000000001</v>
      </c>
      <c r="G179" s="266"/>
    </row>
    <row r="180" spans="1:7" x14ac:dyDescent="0.25">
      <c r="A180" s="78" t="s">
        <v>296</v>
      </c>
      <c r="B180" s="143" t="s">
        <v>50</v>
      </c>
      <c r="C180" s="127"/>
      <c r="D180" s="127"/>
      <c r="E180" s="127"/>
      <c r="F180" s="228"/>
      <c r="G180" s="266" t="s">
        <v>298</v>
      </c>
    </row>
    <row r="181" spans="1:7" x14ac:dyDescent="0.25">
      <c r="A181" s="77" t="s">
        <v>147</v>
      </c>
      <c r="B181" s="251" t="s">
        <v>50</v>
      </c>
      <c r="C181" s="47"/>
      <c r="D181" s="47"/>
      <c r="E181" s="47"/>
      <c r="F181" s="257">
        <f>SUM(F182:F187)</f>
        <v>206.10072000000002</v>
      </c>
      <c r="G181" s="266"/>
    </row>
    <row r="182" spans="1:7" x14ac:dyDescent="0.25">
      <c r="A182" s="79" t="s">
        <v>89</v>
      </c>
      <c r="B182" s="48" t="s">
        <v>207</v>
      </c>
      <c r="C182" s="127" t="s">
        <v>107</v>
      </c>
      <c r="D182" s="127">
        <v>1.6E-2</v>
      </c>
      <c r="E182" s="127">
        <v>1902</v>
      </c>
      <c r="F182" s="228">
        <f t="shared" ref="F182:F187" si="22">D182*E182</f>
        <v>30.432000000000002</v>
      </c>
      <c r="G182" s="266"/>
    </row>
    <row r="183" spans="1:7" x14ac:dyDescent="0.25">
      <c r="A183" s="79" t="s">
        <v>89</v>
      </c>
      <c r="B183" s="48" t="s">
        <v>240</v>
      </c>
      <c r="C183" s="127" t="s">
        <v>107</v>
      </c>
      <c r="D183" s="127">
        <v>6.4000000000000003E-3</v>
      </c>
      <c r="E183" s="127">
        <v>1902</v>
      </c>
      <c r="F183" s="228">
        <f t="shared" si="22"/>
        <v>12.172800000000001</v>
      </c>
      <c r="G183" s="266"/>
    </row>
    <row r="184" spans="1:7" x14ac:dyDescent="0.25">
      <c r="A184" s="79" t="s">
        <v>89</v>
      </c>
      <c r="B184" s="48" t="s">
        <v>199</v>
      </c>
      <c r="C184" s="127" t="s">
        <v>200</v>
      </c>
      <c r="D184" s="127">
        <v>4.1599999999999998E-2</v>
      </c>
      <c r="E184" s="127">
        <v>1902</v>
      </c>
      <c r="F184" s="228">
        <f t="shared" si="22"/>
        <v>79.123199999999997</v>
      </c>
      <c r="G184" s="266"/>
    </row>
    <row r="185" spans="1:7" x14ac:dyDescent="0.25">
      <c r="A185" s="79" t="s">
        <v>89</v>
      </c>
      <c r="B185" s="48" t="s">
        <v>241</v>
      </c>
      <c r="C185" s="127" t="s">
        <v>107</v>
      </c>
      <c r="D185" s="127">
        <v>2.7199999999999998E-2</v>
      </c>
      <c r="E185" s="127">
        <v>1902</v>
      </c>
      <c r="F185" s="228">
        <f t="shared" si="22"/>
        <v>51.734399999999994</v>
      </c>
      <c r="G185" s="266"/>
    </row>
    <row r="186" spans="1:7" x14ac:dyDescent="0.25">
      <c r="A186" s="79" t="s">
        <v>89</v>
      </c>
      <c r="B186" s="48" t="s">
        <v>251</v>
      </c>
      <c r="C186" s="127" t="s">
        <v>107</v>
      </c>
      <c r="D186" s="127">
        <v>1.2E-2</v>
      </c>
      <c r="E186" s="127">
        <v>1902</v>
      </c>
      <c r="F186" s="228">
        <f t="shared" si="22"/>
        <v>22.824000000000002</v>
      </c>
      <c r="G186" s="266"/>
    </row>
    <row r="187" spans="1:7" x14ac:dyDescent="0.25">
      <c r="A187" s="79" t="s">
        <v>89</v>
      </c>
      <c r="B187" s="48" t="s">
        <v>208</v>
      </c>
      <c r="C187" s="127" t="s">
        <v>209</v>
      </c>
      <c r="D187" s="127">
        <v>5.1599999999999997E-3</v>
      </c>
      <c r="E187" s="127">
        <v>1902</v>
      </c>
      <c r="F187" s="228">
        <f t="shared" si="22"/>
        <v>9.8143199999999986</v>
      </c>
      <c r="G187" s="266"/>
    </row>
    <row r="188" spans="1:7" x14ac:dyDescent="0.25">
      <c r="A188" s="77" t="s">
        <v>148</v>
      </c>
      <c r="B188" s="251" t="s">
        <v>51</v>
      </c>
      <c r="C188" s="47"/>
      <c r="D188" s="47"/>
      <c r="E188" s="47"/>
      <c r="F188" s="257">
        <v>0</v>
      </c>
      <c r="G188" s="266" t="s">
        <v>54</v>
      </c>
    </row>
    <row r="189" spans="1:7" x14ac:dyDescent="0.25">
      <c r="A189" s="78" t="s">
        <v>161</v>
      </c>
      <c r="B189" s="143" t="s">
        <v>57</v>
      </c>
      <c r="C189" s="127"/>
      <c r="D189" s="127"/>
      <c r="E189" s="127"/>
      <c r="F189" s="228"/>
      <c r="G189" s="266"/>
    </row>
    <row r="190" spans="1:7" x14ac:dyDescent="0.25">
      <c r="A190" s="77" t="s">
        <v>149</v>
      </c>
      <c r="B190" s="251" t="s">
        <v>58</v>
      </c>
      <c r="C190" s="47"/>
      <c r="D190" s="47"/>
      <c r="E190" s="47"/>
      <c r="F190" s="257">
        <f>SUM(F191:F194)</f>
        <v>24.284736000000002</v>
      </c>
      <c r="G190" s="266"/>
    </row>
    <row r="191" spans="1:7" x14ac:dyDescent="0.25">
      <c r="A191" s="79" t="s">
        <v>89</v>
      </c>
      <c r="B191" s="48" t="s">
        <v>207</v>
      </c>
      <c r="C191" s="127" t="s">
        <v>107</v>
      </c>
      <c r="D191" s="127">
        <v>3.2000000000000002E-3</v>
      </c>
      <c r="E191" s="127">
        <v>1902</v>
      </c>
      <c r="F191" s="228">
        <f t="shared" ref="F191:F194" si="23">D191*E191</f>
        <v>6.0864000000000003</v>
      </c>
      <c r="G191" s="266"/>
    </row>
    <row r="192" spans="1:7" x14ac:dyDescent="0.25">
      <c r="A192" s="79" t="s">
        <v>89</v>
      </c>
      <c r="B192" s="48" t="s">
        <v>240</v>
      </c>
      <c r="C192" s="127" t="s">
        <v>107</v>
      </c>
      <c r="D192" s="127">
        <v>1.2800000000000001E-3</v>
      </c>
      <c r="E192" s="127">
        <v>1902</v>
      </c>
      <c r="F192" s="228">
        <f t="shared" si="23"/>
        <v>2.4345600000000003</v>
      </c>
      <c r="G192" s="266"/>
    </row>
    <row r="193" spans="1:7" x14ac:dyDescent="0.25">
      <c r="A193" s="79" t="s">
        <v>89</v>
      </c>
      <c r="B193" s="48" t="s">
        <v>199</v>
      </c>
      <c r="C193" s="127" t="s">
        <v>200</v>
      </c>
      <c r="D193" s="127">
        <v>7.6800000000000002E-3</v>
      </c>
      <c r="E193" s="127">
        <v>1902</v>
      </c>
      <c r="F193" s="228">
        <f t="shared" si="23"/>
        <v>14.60736</v>
      </c>
      <c r="G193" s="266"/>
    </row>
    <row r="194" spans="1:7" x14ac:dyDescent="0.25">
      <c r="A194" s="79" t="s">
        <v>89</v>
      </c>
      <c r="B194" s="48" t="s">
        <v>208</v>
      </c>
      <c r="C194" s="127" t="s">
        <v>209</v>
      </c>
      <c r="D194" s="127">
        <v>6.0800000000000003E-4</v>
      </c>
      <c r="E194" s="127">
        <v>1902</v>
      </c>
      <c r="F194" s="228">
        <f t="shared" si="23"/>
        <v>1.1564160000000001</v>
      </c>
      <c r="G194" s="266"/>
    </row>
    <row r="195" spans="1:7" x14ac:dyDescent="0.25">
      <c r="A195" s="77" t="s">
        <v>150</v>
      </c>
      <c r="B195" s="251" t="s">
        <v>59</v>
      </c>
      <c r="C195" s="47"/>
      <c r="D195" s="47"/>
      <c r="E195" s="47"/>
      <c r="F195" s="257">
        <f>SUM(F196:F201)</f>
        <v>4804.0320384000006</v>
      </c>
      <c r="G195" s="266"/>
    </row>
    <row r="196" spans="1:7" x14ac:dyDescent="0.25">
      <c r="A196" s="79" t="s">
        <v>89</v>
      </c>
      <c r="B196" s="48" t="s">
        <v>192</v>
      </c>
      <c r="C196" s="127" t="s">
        <v>107</v>
      </c>
      <c r="D196" s="127">
        <v>1.5311999999999999</v>
      </c>
      <c r="E196" s="127">
        <v>1902</v>
      </c>
      <c r="F196" s="228">
        <f t="shared" ref="F196:F201" si="24">D196*E196</f>
        <v>2912.3424</v>
      </c>
      <c r="G196" s="266"/>
    </row>
    <row r="197" spans="1:7" x14ac:dyDescent="0.25">
      <c r="A197" s="79" t="s">
        <v>89</v>
      </c>
      <c r="B197" s="48" t="s">
        <v>193</v>
      </c>
      <c r="C197" s="127" t="s">
        <v>200</v>
      </c>
      <c r="D197" s="127">
        <v>0.61439999999999995</v>
      </c>
      <c r="E197" s="127">
        <v>1902</v>
      </c>
      <c r="F197" s="228">
        <f t="shared" si="24"/>
        <v>1168.5888</v>
      </c>
      <c r="G197" s="266"/>
    </row>
    <row r="198" spans="1:7" x14ac:dyDescent="0.25">
      <c r="A198" s="79" t="s">
        <v>89</v>
      </c>
      <c r="B198" s="48" t="s">
        <v>207</v>
      </c>
      <c r="C198" s="127" t="s">
        <v>107</v>
      </c>
      <c r="D198" s="127">
        <v>6.9440000000000002E-2</v>
      </c>
      <c r="E198" s="127">
        <v>1902</v>
      </c>
      <c r="F198" s="228">
        <f t="shared" si="24"/>
        <v>132.07488000000001</v>
      </c>
      <c r="G198" s="266"/>
    </row>
    <row r="199" spans="1:7" x14ac:dyDescent="0.25">
      <c r="A199" s="79" t="s">
        <v>89</v>
      </c>
      <c r="B199" s="48" t="s">
        <v>240</v>
      </c>
      <c r="C199" s="127" t="s">
        <v>107</v>
      </c>
      <c r="D199" s="127">
        <v>2.7775999999999999E-2</v>
      </c>
      <c r="E199" s="127">
        <v>1902</v>
      </c>
      <c r="F199" s="228">
        <f t="shared" si="24"/>
        <v>52.829951999999999</v>
      </c>
      <c r="G199" s="266"/>
    </row>
    <row r="200" spans="1:7" x14ac:dyDescent="0.25">
      <c r="A200" s="79" t="s">
        <v>89</v>
      </c>
      <c r="B200" s="48" t="s">
        <v>199</v>
      </c>
      <c r="C200" s="127" t="s">
        <v>200</v>
      </c>
      <c r="D200" s="127">
        <v>0.162688</v>
      </c>
      <c r="E200" s="127">
        <v>1902</v>
      </c>
      <c r="F200" s="228">
        <f t="shared" si="24"/>
        <v>309.43257599999998</v>
      </c>
      <c r="G200" s="266"/>
    </row>
    <row r="201" spans="1:7" ht="39.75" customHeight="1" x14ac:dyDescent="0.25">
      <c r="A201" s="79" t="s">
        <v>89</v>
      </c>
      <c r="B201" s="48" t="s">
        <v>208</v>
      </c>
      <c r="C201" s="127" t="s">
        <v>209</v>
      </c>
      <c r="D201" s="127">
        <v>0.1202752</v>
      </c>
      <c r="E201" s="127">
        <v>1902</v>
      </c>
      <c r="F201" s="228">
        <f t="shared" si="24"/>
        <v>228.7634304</v>
      </c>
      <c r="G201" s="266"/>
    </row>
    <row r="202" spans="1:7" ht="42" customHeight="1" x14ac:dyDescent="0.25">
      <c r="A202" s="77" t="s">
        <v>151</v>
      </c>
      <c r="B202" s="251" t="s">
        <v>60</v>
      </c>
      <c r="C202" s="47"/>
      <c r="D202" s="47"/>
      <c r="E202" s="47"/>
      <c r="F202" s="257">
        <v>0</v>
      </c>
      <c r="G202" s="265" t="s">
        <v>547</v>
      </c>
    </row>
    <row r="203" spans="1:7" ht="21.75" customHeight="1" x14ac:dyDescent="0.25">
      <c r="A203" s="77" t="s">
        <v>152</v>
      </c>
      <c r="B203" s="251" t="s">
        <v>61</v>
      </c>
      <c r="C203" s="47"/>
      <c r="D203" s="47"/>
      <c r="E203" s="47"/>
      <c r="F203" s="257">
        <v>0</v>
      </c>
      <c r="G203" s="265" t="s">
        <v>547</v>
      </c>
    </row>
    <row r="204" spans="1:7" x14ac:dyDescent="0.25">
      <c r="A204" s="77" t="s">
        <v>153</v>
      </c>
      <c r="B204" s="251" t="s">
        <v>62</v>
      </c>
      <c r="C204" s="47"/>
      <c r="D204" s="47"/>
      <c r="E204" s="47"/>
      <c r="F204" s="257">
        <v>0</v>
      </c>
      <c r="G204" s="266" t="s">
        <v>54</v>
      </c>
    </row>
    <row r="205" spans="1:7" x14ac:dyDescent="0.25">
      <c r="A205" s="78" t="s">
        <v>160</v>
      </c>
      <c r="B205" s="148" t="s">
        <v>63</v>
      </c>
      <c r="C205" s="127"/>
      <c r="D205" s="127"/>
      <c r="E205" s="127"/>
      <c r="F205" s="228"/>
      <c r="G205" s="266" t="s">
        <v>316</v>
      </c>
    </row>
    <row r="206" spans="1:7" ht="31.5" x14ac:dyDescent="0.25">
      <c r="A206" s="77" t="s">
        <v>154</v>
      </c>
      <c r="B206" s="251" t="s">
        <v>64</v>
      </c>
      <c r="C206" s="47"/>
      <c r="D206" s="47"/>
      <c r="E206" s="47"/>
      <c r="F206" s="257">
        <v>0</v>
      </c>
      <c r="G206" s="266" t="s">
        <v>627</v>
      </c>
    </row>
    <row r="207" spans="1:7" x14ac:dyDescent="0.25">
      <c r="A207" s="77" t="s">
        <v>155</v>
      </c>
      <c r="B207" s="251" t="s">
        <v>65</v>
      </c>
      <c r="C207" s="47"/>
      <c r="D207" s="47"/>
      <c r="E207" s="47"/>
      <c r="F207" s="257">
        <f>SUM(F208:F213)</f>
        <v>813.21912000000009</v>
      </c>
      <c r="G207" s="266"/>
    </row>
    <row r="208" spans="1:7" x14ac:dyDescent="0.25">
      <c r="A208" s="79" t="s">
        <v>89</v>
      </c>
      <c r="B208" s="48" t="s">
        <v>192</v>
      </c>
      <c r="C208" s="127" t="s">
        <v>107</v>
      </c>
      <c r="D208" s="127">
        <v>0.22</v>
      </c>
      <c r="E208" s="127">
        <v>1902</v>
      </c>
      <c r="F208" s="228">
        <f t="shared" ref="F208:F213" si="25">D208*E208</f>
        <v>418.44</v>
      </c>
      <c r="G208" s="266"/>
    </row>
    <row r="209" spans="1:7" x14ac:dyDescent="0.25">
      <c r="A209" s="79" t="s">
        <v>89</v>
      </c>
      <c r="B209" s="48" t="s">
        <v>207</v>
      </c>
      <c r="C209" s="127" t="s">
        <v>107</v>
      </c>
      <c r="D209" s="127">
        <v>1.6E-2</v>
      </c>
      <c r="E209" s="127">
        <v>1902</v>
      </c>
      <c r="F209" s="228">
        <f t="shared" si="25"/>
        <v>30.432000000000002</v>
      </c>
      <c r="G209" s="266"/>
    </row>
    <row r="210" spans="1:7" x14ac:dyDescent="0.25">
      <c r="A210" s="79" t="s">
        <v>89</v>
      </c>
      <c r="B210" s="48" t="s">
        <v>240</v>
      </c>
      <c r="C210" s="127" t="s">
        <v>107</v>
      </c>
      <c r="D210" s="127">
        <v>6.4000000000000003E-3</v>
      </c>
      <c r="E210" s="127">
        <v>1902</v>
      </c>
      <c r="F210" s="228">
        <f t="shared" si="25"/>
        <v>12.172800000000001</v>
      </c>
      <c r="G210" s="266"/>
    </row>
    <row r="211" spans="1:7" x14ac:dyDescent="0.25">
      <c r="A211" s="79" t="s">
        <v>89</v>
      </c>
      <c r="B211" s="48" t="s">
        <v>199</v>
      </c>
      <c r="C211" s="127" t="s">
        <v>200</v>
      </c>
      <c r="D211" s="127">
        <v>4.48E-2</v>
      </c>
      <c r="E211" s="127">
        <v>1902</v>
      </c>
      <c r="F211" s="228">
        <f t="shared" si="25"/>
        <v>85.209599999999995</v>
      </c>
      <c r="G211" s="266"/>
    </row>
    <row r="212" spans="1:7" x14ac:dyDescent="0.25">
      <c r="A212" s="79" t="s">
        <v>89</v>
      </c>
      <c r="B212" s="48" t="s">
        <v>251</v>
      </c>
      <c r="C212" s="127" t="s">
        <v>107</v>
      </c>
      <c r="D212" s="127">
        <v>0.12</v>
      </c>
      <c r="E212" s="127">
        <v>1902</v>
      </c>
      <c r="F212" s="228">
        <f t="shared" si="25"/>
        <v>228.23999999999998</v>
      </c>
      <c r="G212" s="266"/>
    </row>
    <row r="213" spans="1:7" x14ac:dyDescent="0.25">
      <c r="A213" s="79" t="s">
        <v>89</v>
      </c>
      <c r="B213" s="48" t="s">
        <v>208</v>
      </c>
      <c r="C213" s="127" t="s">
        <v>209</v>
      </c>
      <c r="D213" s="127">
        <v>2.036E-2</v>
      </c>
      <c r="E213" s="127">
        <v>1902</v>
      </c>
      <c r="F213" s="228">
        <f t="shared" si="25"/>
        <v>38.724719999999998</v>
      </c>
      <c r="G213" s="266"/>
    </row>
    <row r="214" spans="1:7" x14ac:dyDescent="0.25">
      <c r="A214" s="77" t="s">
        <v>156</v>
      </c>
      <c r="B214" s="251" t="s">
        <v>66</v>
      </c>
      <c r="C214" s="47"/>
      <c r="D214" s="47"/>
      <c r="E214" s="47"/>
      <c r="F214" s="257">
        <f>SUM(F215:F220)</f>
        <v>1252.5811200000001</v>
      </c>
      <c r="G214" s="266"/>
    </row>
    <row r="215" spans="1:7" x14ac:dyDescent="0.25">
      <c r="A215" s="79" t="s">
        <v>89</v>
      </c>
      <c r="B215" s="48" t="s">
        <v>192</v>
      </c>
      <c r="C215" s="127" t="s">
        <v>107</v>
      </c>
      <c r="D215" s="127">
        <v>0.44</v>
      </c>
      <c r="E215" s="127">
        <v>1902</v>
      </c>
      <c r="F215" s="228">
        <f t="shared" ref="F215:F220" si="26">D215*E215</f>
        <v>836.88</v>
      </c>
      <c r="G215" s="266"/>
    </row>
    <row r="216" spans="1:7" x14ac:dyDescent="0.25">
      <c r="A216" s="79" t="s">
        <v>89</v>
      </c>
      <c r="B216" s="48" t="s">
        <v>207</v>
      </c>
      <c r="C216" s="127" t="s">
        <v>107</v>
      </c>
      <c r="D216" s="127">
        <v>1.6E-2</v>
      </c>
      <c r="E216" s="127">
        <v>1902</v>
      </c>
      <c r="F216" s="228">
        <f t="shared" si="26"/>
        <v>30.432000000000002</v>
      </c>
      <c r="G216" s="266"/>
    </row>
    <row r="217" spans="1:7" x14ac:dyDescent="0.25">
      <c r="A217" s="79" t="s">
        <v>89</v>
      </c>
      <c r="B217" s="48" t="s">
        <v>240</v>
      </c>
      <c r="C217" s="127" t="s">
        <v>107</v>
      </c>
      <c r="D217" s="127">
        <v>6.4000000000000003E-3</v>
      </c>
      <c r="E217" s="127">
        <v>1902</v>
      </c>
      <c r="F217" s="228">
        <f t="shared" si="26"/>
        <v>12.172800000000001</v>
      </c>
      <c r="G217" s="266"/>
    </row>
    <row r="218" spans="1:7" x14ac:dyDescent="0.25">
      <c r="A218" s="79" t="s">
        <v>89</v>
      </c>
      <c r="B218" s="48" t="s">
        <v>199</v>
      </c>
      <c r="C218" s="127" t="s">
        <v>200</v>
      </c>
      <c r="D218" s="127">
        <v>4.48E-2</v>
      </c>
      <c r="E218" s="127">
        <v>1902</v>
      </c>
      <c r="F218" s="228">
        <f t="shared" si="26"/>
        <v>85.209599999999995</v>
      </c>
      <c r="G218" s="266"/>
    </row>
    <row r="219" spans="1:7" x14ac:dyDescent="0.25">
      <c r="A219" s="79" t="s">
        <v>89</v>
      </c>
      <c r="B219" s="48" t="s">
        <v>251</v>
      </c>
      <c r="C219" s="127" t="s">
        <v>107</v>
      </c>
      <c r="D219" s="127">
        <v>0.12</v>
      </c>
      <c r="E219" s="127">
        <v>1902</v>
      </c>
      <c r="F219" s="228">
        <f t="shared" si="26"/>
        <v>228.23999999999998</v>
      </c>
      <c r="G219" s="266"/>
    </row>
    <row r="220" spans="1:7" x14ac:dyDescent="0.25">
      <c r="A220" s="79" t="s">
        <v>89</v>
      </c>
      <c r="B220" s="48" t="s">
        <v>208</v>
      </c>
      <c r="C220" s="127" t="s">
        <v>209</v>
      </c>
      <c r="D220" s="127">
        <v>3.1359999999999999E-2</v>
      </c>
      <c r="E220" s="127">
        <v>1902</v>
      </c>
      <c r="F220" s="228">
        <f t="shared" si="26"/>
        <v>59.646719999999995</v>
      </c>
      <c r="G220" s="266"/>
    </row>
    <row r="221" spans="1:7" x14ac:dyDescent="0.25">
      <c r="A221" s="77" t="s">
        <v>157</v>
      </c>
      <c r="B221" s="251" t="s">
        <v>67</v>
      </c>
      <c r="C221" s="47"/>
      <c r="D221" s="47"/>
      <c r="E221" s="47"/>
      <c r="F221" s="257">
        <v>0</v>
      </c>
      <c r="G221" s="266" t="s">
        <v>627</v>
      </c>
    </row>
    <row r="222" spans="1:7" x14ac:dyDescent="0.25">
      <c r="A222" s="77" t="s">
        <v>158</v>
      </c>
      <c r="B222" s="251" t="s">
        <v>68</v>
      </c>
      <c r="C222" s="47"/>
      <c r="D222" s="47"/>
      <c r="E222" s="47"/>
      <c r="F222" s="257">
        <v>0</v>
      </c>
      <c r="G222" s="266" t="s">
        <v>627</v>
      </c>
    </row>
    <row r="223" spans="1:7" ht="25.5" x14ac:dyDescent="0.25">
      <c r="A223" s="77" t="s">
        <v>159</v>
      </c>
      <c r="B223" s="251" t="s">
        <v>69</v>
      </c>
      <c r="C223" s="47"/>
      <c r="D223" s="47"/>
      <c r="E223" s="47"/>
      <c r="F223" s="257">
        <f>F172</f>
        <v>2079.5402880000001</v>
      </c>
      <c r="G223" s="189" t="s">
        <v>328</v>
      </c>
    </row>
    <row r="224" spans="1:7" x14ac:dyDescent="0.25">
      <c r="A224" s="78" t="s">
        <v>168</v>
      </c>
      <c r="B224" s="148" t="s">
        <v>70</v>
      </c>
      <c r="C224" s="127"/>
      <c r="D224" s="127"/>
      <c r="E224" s="127"/>
      <c r="F224" s="228"/>
      <c r="G224" s="266"/>
    </row>
    <row r="225" spans="1:7" ht="31.5" x14ac:dyDescent="0.25">
      <c r="A225" s="77" t="s">
        <v>162</v>
      </c>
      <c r="B225" s="251" t="s">
        <v>71</v>
      </c>
      <c r="C225" s="47"/>
      <c r="D225" s="47"/>
      <c r="E225" s="47"/>
      <c r="F225" s="257">
        <f>SUM(F226:F232)</f>
        <v>21231.633427200002</v>
      </c>
      <c r="G225" s="259" t="s">
        <v>321</v>
      </c>
    </row>
    <row r="226" spans="1:7" x14ac:dyDescent="0.25">
      <c r="A226" s="79" t="s">
        <v>89</v>
      </c>
      <c r="B226" s="48" t="s">
        <v>192</v>
      </c>
      <c r="C226" s="127" t="s">
        <v>107</v>
      </c>
      <c r="D226" s="127">
        <v>3.3017599999999998</v>
      </c>
      <c r="E226" s="127">
        <v>1902</v>
      </c>
      <c r="F226" s="228">
        <f t="shared" ref="F226:F232" si="27">D226*E226</f>
        <v>6279.9475199999997</v>
      </c>
      <c r="G226" s="259"/>
    </row>
    <row r="227" spans="1:7" x14ac:dyDescent="0.25">
      <c r="A227" s="79" t="s">
        <v>89</v>
      </c>
      <c r="B227" s="48" t="s">
        <v>193</v>
      </c>
      <c r="C227" s="127" t="s">
        <v>200</v>
      </c>
      <c r="D227" s="127">
        <v>6.7651199999999996</v>
      </c>
      <c r="E227" s="127">
        <v>1902</v>
      </c>
      <c r="F227" s="228">
        <f t="shared" si="27"/>
        <v>12867.258239999999</v>
      </c>
      <c r="G227" s="259"/>
    </row>
    <row r="228" spans="1:7" x14ac:dyDescent="0.25">
      <c r="A228" s="79" t="s">
        <v>89</v>
      </c>
      <c r="B228" s="48" t="s">
        <v>236</v>
      </c>
      <c r="C228" s="127" t="s">
        <v>107</v>
      </c>
      <c r="D228" s="127">
        <v>1.2800000000000001E-3</v>
      </c>
      <c r="E228" s="127">
        <v>1902</v>
      </c>
      <c r="F228" s="228">
        <f t="shared" si="27"/>
        <v>2.4345600000000003</v>
      </c>
      <c r="G228" s="259"/>
    </row>
    <row r="229" spans="1:7" x14ac:dyDescent="0.25">
      <c r="A229" s="79" t="s">
        <v>89</v>
      </c>
      <c r="B229" s="48" t="s">
        <v>207</v>
      </c>
      <c r="C229" s="127" t="s">
        <v>107</v>
      </c>
      <c r="D229" s="127">
        <v>0.14848</v>
      </c>
      <c r="E229" s="127">
        <v>1902</v>
      </c>
      <c r="F229" s="228">
        <f t="shared" si="27"/>
        <v>282.40895999999998</v>
      </c>
      <c r="G229" s="259"/>
    </row>
    <row r="230" spans="1:7" x14ac:dyDescent="0.25">
      <c r="A230" s="79" t="s">
        <v>89</v>
      </c>
      <c r="B230" s="48" t="s">
        <v>240</v>
      </c>
      <c r="C230" s="127" t="s">
        <v>107</v>
      </c>
      <c r="D230" s="127">
        <v>5.9392E-2</v>
      </c>
      <c r="E230" s="127">
        <v>1902</v>
      </c>
      <c r="F230" s="228">
        <f t="shared" si="27"/>
        <v>112.963584</v>
      </c>
      <c r="G230" s="259"/>
    </row>
    <row r="231" spans="1:7" x14ac:dyDescent="0.25">
      <c r="A231" s="79" t="s">
        <v>89</v>
      </c>
      <c r="B231" s="48" t="s">
        <v>199</v>
      </c>
      <c r="C231" s="127" t="s">
        <v>200</v>
      </c>
      <c r="D231" s="127">
        <v>0.35520000000000002</v>
      </c>
      <c r="E231" s="127">
        <v>1902</v>
      </c>
      <c r="F231" s="228">
        <f t="shared" si="27"/>
        <v>675.59040000000005</v>
      </c>
      <c r="G231" s="259"/>
    </row>
    <row r="232" spans="1:7" x14ac:dyDescent="0.25">
      <c r="A232" s="79" t="s">
        <v>89</v>
      </c>
      <c r="B232" s="48" t="s">
        <v>208</v>
      </c>
      <c r="C232" s="127" t="s">
        <v>209</v>
      </c>
      <c r="D232" s="127">
        <v>0.53156159999999997</v>
      </c>
      <c r="E232" s="127">
        <v>1902</v>
      </c>
      <c r="F232" s="228">
        <f t="shared" si="27"/>
        <v>1011.0301631999999</v>
      </c>
      <c r="G232" s="259"/>
    </row>
    <row r="233" spans="1:7" ht="25.5" x14ac:dyDescent="0.25">
      <c r="A233" s="77" t="s">
        <v>163</v>
      </c>
      <c r="B233" s="251" t="s">
        <v>72</v>
      </c>
      <c r="C233" s="47"/>
      <c r="D233" s="47"/>
      <c r="E233" s="47"/>
      <c r="F233" s="257">
        <v>0</v>
      </c>
      <c r="G233" s="189" t="s">
        <v>548</v>
      </c>
    </row>
    <row r="234" spans="1:7" x14ac:dyDescent="0.25">
      <c r="A234" s="77" t="s">
        <v>164</v>
      </c>
      <c r="B234" s="251" t="s">
        <v>73</v>
      </c>
      <c r="C234" s="47"/>
      <c r="D234" s="47"/>
      <c r="E234" s="47"/>
      <c r="F234" s="257">
        <v>0</v>
      </c>
      <c r="G234" s="259" t="s">
        <v>54</v>
      </c>
    </row>
    <row r="235" spans="1:7" ht="25.5" x14ac:dyDescent="0.25">
      <c r="A235" s="77" t="s">
        <v>165</v>
      </c>
      <c r="B235" s="251" t="s">
        <v>74</v>
      </c>
      <c r="C235" s="47"/>
      <c r="D235" s="47"/>
      <c r="E235" s="47"/>
      <c r="F235" s="257">
        <f>F236+F237</f>
        <v>1.9077059999999999</v>
      </c>
      <c r="G235" s="189" t="s">
        <v>317</v>
      </c>
    </row>
    <row r="236" spans="1:7" x14ac:dyDescent="0.25">
      <c r="A236" s="77" t="s">
        <v>574</v>
      </c>
      <c r="B236" s="251" t="s">
        <v>16</v>
      </c>
      <c r="C236" s="47"/>
      <c r="D236" s="47"/>
      <c r="E236" s="47"/>
      <c r="F236" s="257">
        <f>F11</f>
        <v>1.9077059999999999</v>
      </c>
      <c r="G236" s="189"/>
    </row>
    <row r="237" spans="1:7" x14ac:dyDescent="0.25">
      <c r="A237" s="77" t="s">
        <v>575</v>
      </c>
      <c r="B237" s="251" t="s">
        <v>17</v>
      </c>
      <c r="C237" s="47"/>
      <c r="D237" s="47"/>
      <c r="E237" s="47"/>
      <c r="F237" s="257">
        <f>F17</f>
        <v>0</v>
      </c>
      <c r="G237" s="189" t="s">
        <v>627</v>
      </c>
    </row>
    <row r="238" spans="1:7" ht="31.5" x14ac:dyDescent="0.25">
      <c r="A238" s="77" t="s">
        <v>166</v>
      </c>
      <c r="B238" s="251" t="s">
        <v>75</v>
      </c>
      <c r="C238" s="47"/>
      <c r="D238" s="47"/>
      <c r="E238" s="47"/>
      <c r="F238" s="257">
        <v>0</v>
      </c>
      <c r="G238" s="189" t="s">
        <v>548</v>
      </c>
    </row>
    <row r="239" spans="1:7" ht="31.5" x14ac:dyDescent="0.25">
      <c r="A239" s="77" t="s">
        <v>167</v>
      </c>
      <c r="B239" s="251" t="s">
        <v>76</v>
      </c>
      <c r="C239" s="47"/>
      <c r="D239" s="47"/>
      <c r="E239" s="47"/>
      <c r="F239" s="257">
        <f>SUM(F240:F244)</f>
        <v>7718.4559872</v>
      </c>
      <c r="G239" s="259" t="s">
        <v>321</v>
      </c>
    </row>
    <row r="240" spans="1:7" x14ac:dyDescent="0.25">
      <c r="A240" s="79" t="s">
        <v>89</v>
      </c>
      <c r="B240" s="48" t="s">
        <v>192</v>
      </c>
      <c r="C240" s="127" t="s">
        <v>107</v>
      </c>
      <c r="D240" s="127">
        <v>3.3017599999999998</v>
      </c>
      <c r="E240" s="127">
        <v>1902</v>
      </c>
      <c r="F240" s="228">
        <f t="shared" ref="F240:F244" si="28">D240*E240</f>
        <v>6279.9475199999997</v>
      </c>
      <c r="G240" s="259"/>
    </row>
    <row r="241" spans="1:8" x14ac:dyDescent="0.25">
      <c r="A241" s="79" t="s">
        <v>89</v>
      </c>
      <c r="B241" s="48" t="s">
        <v>207</v>
      </c>
      <c r="C241" s="127" t="s">
        <v>107</v>
      </c>
      <c r="D241" s="127">
        <v>0.14848</v>
      </c>
      <c r="E241" s="127">
        <v>1902</v>
      </c>
      <c r="F241" s="228">
        <f t="shared" si="28"/>
        <v>282.40895999999998</v>
      </c>
      <c r="G241" s="259"/>
    </row>
    <row r="242" spans="1:8" x14ac:dyDescent="0.25">
      <c r="A242" s="79" t="s">
        <v>89</v>
      </c>
      <c r="B242" s="48" t="s">
        <v>240</v>
      </c>
      <c r="C242" s="127" t="s">
        <v>107</v>
      </c>
      <c r="D242" s="127">
        <v>5.9392E-2</v>
      </c>
      <c r="E242" s="127">
        <v>1902</v>
      </c>
      <c r="F242" s="228">
        <f t="shared" si="28"/>
        <v>112.963584</v>
      </c>
      <c r="G242" s="259"/>
    </row>
    <row r="243" spans="1:8" x14ac:dyDescent="0.25">
      <c r="A243" s="79" t="s">
        <v>89</v>
      </c>
      <c r="B243" s="48" t="s">
        <v>199</v>
      </c>
      <c r="C243" s="127" t="s">
        <v>200</v>
      </c>
      <c r="D243" s="127">
        <v>0.35520000000000002</v>
      </c>
      <c r="E243" s="127">
        <v>1902</v>
      </c>
      <c r="F243" s="228">
        <f t="shared" si="28"/>
        <v>675.59040000000005</v>
      </c>
      <c r="G243" s="259"/>
    </row>
    <row r="244" spans="1:8" x14ac:dyDescent="0.25">
      <c r="A244" s="79" t="s">
        <v>89</v>
      </c>
      <c r="B244" s="48" t="s">
        <v>208</v>
      </c>
      <c r="C244" s="127" t="s">
        <v>209</v>
      </c>
      <c r="D244" s="127">
        <v>0.19324160000000001</v>
      </c>
      <c r="E244" s="127">
        <v>1902</v>
      </c>
      <c r="F244" s="228">
        <f t="shared" si="28"/>
        <v>367.54552320000005</v>
      </c>
      <c r="G244" s="259"/>
    </row>
    <row r="245" spans="1:8" x14ac:dyDescent="0.25">
      <c r="A245" s="78" t="s">
        <v>173</v>
      </c>
      <c r="B245" s="148" t="s">
        <v>77</v>
      </c>
      <c r="C245" s="127"/>
      <c r="D245" s="127"/>
      <c r="E245" s="127"/>
      <c r="F245" s="228"/>
      <c r="G245" s="266"/>
    </row>
    <row r="246" spans="1:8" x14ac:dyDescent="0.25">
      <c r="A246" s="77" t="s">
        <v>169</v>
      </c>
      <c r="B246" s="251" t="s">
        <v>78</v>
      </c>
      <c r="C246" s="47"/>
      <c r="D246" s="47"/>
      <c r="E246" s="47"/>
      <c r="F246" s="257">
        <v>0</v>
      </c>
      <c r="G246" s="189" t="s">
        <v>627</v>
      </c>
    </row>
    <row r="247" spans="1:8" ht="29.25" customHeight="1" x14ac:dyDescent="0.25">
      <c r="A247" s="77" t="s">
        <v>170</v>
      </c>
      <c r="B247" s="251" t="s">
        <v>79</v>
      </c>
      <c r="C247" s="47"/>
      <c r="D247" s="47"/>
      <c r="E247" s="47"/>
      <c r="F247" s="257">
        <v>0</v>
      </c>
      <c r="G247" s="266" t="s">
        <v>54</v>
      </c>
    </row>
    <row r="248" spans="1:8" ht="47.25" x14ac:dyDescent="0.25">
      <c r="A248" s="77" t="s">
        <v>171</v>
      </c>
      <c r="B248" s="251" t="s">
        <v>80</v>
      </c>
      <c r="C248" s="47"/>
      <c r="D248" s="47"/>
      <c r="E248" s="47"/>
      <c r="F248" s="257">
        <f>SUM(F249:F252)</f>
        <v>4192.31232</v>
      </c>
      <c r="G248" s="266" t="s">
        <v>339</v>
      </c>
    </row>
    <row r="249" spans="1:8" x14ac:dyDescent="0.25">
      <c r="A249" s="79" t="s">
        <v>89</v>
      </c>
      <c r="B249" s="48" t="s">
        <v>240</v>
      </c>
      <c r="C249" s="127" t="s">
        <v>107</v>
      </c>
      <c r="D249" s="127" t="s">
        <v>336</v>
      </c>
      <c r="E249" s="127">
        <v>1902</v>
      </c>
      <c r="F249" s="228">
        <f t="shared" ref="F249:F252" si="29">D249*E249</f>
        <v>115.6416</v>
      </c>
      <c r="G249" s="266"/>
    </row>
    <row r="250" spans="1:8" x14ac:dyDescent="0.25">
      <c r="A250" s="79" t="s">
        <v>89</v>
      </c>
      <c r="B250" s="48" t="s">
        <v>199</v>
      </c>
      <c r="C250" s="127" t="s">
        <v>200</v>
      </c>
      <c r="D250" s="127" t="s">
        <v>337</v>
      </c>
      <c r="E250" s="127">
        <v>1902</v>
      </c>
      <c r="F250" s="228">
        <f t="shared" si="29"/>
        <v>681.67679999999996</v>
      </c>
      <c r="G250" s="266"/>
    </row>
    <row r="251" spans="1:8" x14ac:dyDescent="0.25">
      <c r="A251" s="79" t="s">
        <v>89</v>
      </c>
      <c r="B251" s="48" t="s">
        <v>332</v>
      </c>
      <c r="C251" s="127" t="s">
        <v>107</v>
      </c>
      <c r="D251" s="301">
        <v>1.68</v>
      </c>
      <c r="E251" s="127">
        <v>1902</v>
      </c>
      <c r="F251" s="228">
        <f t="shared" si="29"/>
        <v>3195.3599999999997</v>
      </c>
      <c r="G251" s="266"/>
    </row>
    <row r="252" spans="1:8" x14ac:dyDescent="0.25">
      <c r="A252" s="79" t="s">
        <v>89</v>
      </c>
      <c r="B252" s="48" t="s">
        <v>208</v>
      </c>
      <c r="C252" s="127" t="s">
        <v>209</v>
      </c>
      <c r="D252" s="127" t="s">
        <v>338</v>
      </c>
      <c r="E252" s="127">
        <v>1902</v>
      </c>
      <c r="F252" s="228">
        <f t="shared" si="29"/>
        <v>199.63391999999999</v>
      </c>
      <c r="G252" s="266"/>
    </row>
    <row r="253" spans="1:8" ht="31.5" x14ac:dyDescent="0.25">
      <c r="A253" s="77" t="s">
        <v>172</v>
      </c>
      <c r="B253" s="251" t="s">
        <v>81</v>
      </c>
      <c r="C253" s="47"/>
      <c r="D253" s="47"/>
      <c r="E253" s="47"/>
      <c r="F253" s="257">
        <f>F172</f>
        <v>2079.5402880000001</v>
      </c>
      <c r="G253" s="189" t="s">
        <v>328</v>
      </c>
    </row>
    <row r="254" spans="1:8" ht="38.25" x14ac:dyDescent="0.25">
      <c r="A254" s="78" t="s">
        <v>82</v>
      </c>
      <c r="B254" s="148" t="s">
        <v>84</v>
      </c>
      <c r="C254" s="127"/>
      <c r="D254" s="127"/>
      <c r="E254" s="127"/>
      <c r="F254" s="228"/>
      <c r="G254" s="42" t="s">
        <v>527</v>
      </c>
    </row>
    <row r="255" spans="1:8" x14ac:dyDescent="0.25">
      <c r="A255" s="78" t="s">
        <v>174</v>
      </c>
      <c r="B255" s="148" t="s">
        <v>93</v>
      </c>
      <c r="C255" s="127"/>
      <c r="D255" s="127"/>
      <c r="E255" s="127"/>
      <c r="F255" s="228"/>
      <c r="G255" s="266"/>
    </row>
    <row r="256" spans="1:8" x14ac:dyDescent="0.25">
      <c r="A256" s="77" t="s">
        <v>175</v>
      </c>
      <c r="B256" s="251" t="s">
        <v>85</v>
      </c>
      <c r="C256" s="47"/>
      <c r="D256" s="47"/>
      <c r="E256" s="47"/>
      <c r="F256" s="257">
        <v>0</v>
      </c>
      <c r="G256" s="266" t="s">
        <v>627</v>
      </c>
      <c r="H256" s="200"/>
    </row>
    <row r="257" spans="1:7" x14ac:dyDescent="0.25">
      <c r="A257" s="77" t="s">
        <v>176</v>
      </c>
      <c r="B257" s="251" t="s">
        <v>86</v>
      </c>
      <c r="C257" s="47"/>
      <c r="D257" s="47"/>
      <c r="E257" s="47"/>
      <c r="F257" s="257"/>
      <c r="G257" s="266"/>
    </row>
    <row r="258" spans="1:7" x14ac:dyDescent="0.25">
      <c r="A258" s="77" t="s">
        <v>558</v>
      </c>
      <c r="B258" s="252" t="s">
        <v>90</v>
      </c>
      <c r="C258" s="47"/>
      <c r="D258" s="47"/>
      <c r="E258" s="47"/>
      <c r="F258" s="257">
        <f>SUM(F259:F264)</f>
        <v>471.31560000000002</v>
      </c>
      <c r="G258" s="266"/>
    </row>
    <row r="259" spans="1:7" x14ac:dyDescent="0.25">
      <c r="A259" s="80" t="s">
        <v>89</v>
      </c>
      <c r="B259" s="225" t="s">
        <v>192</v>
      </c>
      <c r="C259" s="127" t="s">
        <v>107</v>
      </c>
      <c r="D259" s="127" t="s">
        <v>356</v>
      </c>
      <c r="E259" s="127">
        <v>1902</v>
      </c>
      <c r="F259" s="228">
        <f t="shared" ref="F259:F264" si="30">D259*E259</f>
        <v>368.22719999999998</v>
      </c>
      <c r="G259" s="266"/>
    </row>
    <row r="260" spans="1:7" x14ac:dyDescent="0.25">
      <c r="A260" s="80" t="s">
        <v>89</v>
      </c>
      <c r="B260" s="225" t="s">
        <v>193</v>
      </c>
      <c r="C260" s="127" t="s">
        <v>200</v>
      </c>
      <c r="D260" s="127" t="s">
        <v>357</v>
      </c>
      <c r="E260" s="127">
        <v>1902</v>
      </c>
      <c r="F260" s="228">
        <f t="shared" si="30"/>
        <v>18.2592</v>
      </c>
      <c r="G260" s="266"/>
    </row>
    <row r="261" spans="1:7" x14ac:dyDescent="0.25">
      <c r="A261" s="80" t="s">
        <v>89</v>
      </c>
      <c r="B261" s="225" t="s">
        <v>207</v>
      </c>
      <c r="C261" s="127" t="s">
        <v>107</v>
      </c>
      <c r="D261" s="127" t="s">
        <v>358</v>
      </c>
      <c r="E261" s="127">
        <v>1902</v>
      </c>
      <c r="F261" s="228">
        <f t="shared" si="30"/>
        <v>16.7376</v>
      </c>
      <c r="G261" s="266"/>
    </row>
    <row r="262" spans="1:7" x14ac:dyDescent="0.25">
      <c r="A262" s="80" t="s">
        <v>89</v>
      </c>
      <c r="B262" s="225" t="s">
        <v>240</v>
      </c>
      <c r="C262" s="127" t="s">
        <v>107</v>
      </c>
      <c r="D262" s="127" t="s">
        <v>359</v>
      </c>
      <c r="E262" s="127">
        <v>1902</v>
      </c>
      <c r="F262" s="228">
        <f t="shared" si="30"/>
        <v>6.6950400000000005</v>
      </c>
      <c r="G262" s="266"/>
    </row>
    <row r="263" spans="1:7" x14ac:dyDescent="0.25">
      <c r="A263" s="80" t="s">
        <v>89</v>
      </c>
      <c r="B263" s="225" t="s">
        <v>199</v>
      </c>
      <c r="C263" s="127" t="s">
        <v>200</v>
      </c>
      <c r="D263" s="127" t="s">
        <v>360</v>
      </c>
      <c r="E263" s="127">
        <v>1902</v>
      </c>
      <c r="F263" s="228">
        <f t="shared" si="30"/>
        <v>38.952960000000004</v>
      </c>
      <c r="G263" s="266"/>
    </row>
    <row r="264" spans="1:7" x14ac:dyDescent="0.25">
      <c r="A264" s="80" t="s">
        <v>89</v>
      </c>
      <c r="B264" s="225" t="s">
        <v>208</v>
      </c>
      <c r="C264" s="127" t="s">
        <v>209</v>
      </c>
      <c r="D264" s="127" t="s">
        <v>361</v>
      </c>
      <c r="E264" s="127">
        <v>1902</v>
      </c>
      <c r="F264" s="228">
        <f t="shared" si="30"/>
        <v>22.4436</v>
      </c>
      <c r="G264" s="266"/>
    </row>
    <row r="265" spans="1:7" x14ac:dyDescent="0.25">
      <c r="A265" s="77" t="s">
        <v>559</v>
      </c>
      <c r="B265" s="252" t="s">
        <v>91</v>
      </c>
      <c r="C265" s="47"/>
      <c r="D265" s="47"/>
      <c r="E265" s="47"/>
      <c r="F265" s="257">
        <f>SUM(F266:F271)</f>
        <v>430.09545600000001</v>
      </c>
      <c r="G265" s="266"/>
    </row>
    <row r="266" spans="1:7" x14ac:dyDescent="0.25">
      <c r="A266" s="80" t="s">
        <v>89</v>
      </c>
      <c r="B266" s="225" t="s">
        <v>192</v>
      </c>
      <c r="C266" s="127" t="s">
        <v>107</v>
      </c>
      <c r="D266" s="127" t="s">
        <v>362</v>
      </c>
      <c r="E266" s="127">
        <v>1902</v>
      </c>
      <c r="F266" s="228">
        <f t="shared" ref="F266:F271" si="31">D266*E266</f>
        <v>334.75199999999995</v>
      </c>
      <c r="G266" s="266"/>
    </row>
    <row r="267" spans="1:7" x14ac:dyDescent="0.25">
      <c r="A267" s="80" t="s">
        <v>89</v>
      </c>
      <c r="B267" s="225" t="s">
        <v>193</v>
      </c>
      <c r="C267" s="127" t="s">
        <v>200</v>
      </c>
      <c r="D267" s="127" t="s">
        <v>363</v>
      </c>
      <c r="E267" s="127">
        <v>1902</v>
      </c>
      <c r="F267" s="228">
        <f t="shared" si="31"/>
        <v>18.2592</v>
      </c>
      <c r="G267" s="266"/>
    </row>
    <row r="268" spans="1:7" x14ac:dyDescent="0.25">
      <c r="A268" s="80" t="s">
        <v>89</v>
      </c>
      <c r="B268" s="225" t="s">
        <v>207</v>
      </c>
      <c r="C268" s="127" t="s">
        <v>107</v>
      </c>
      <c r="D268" s="127" t="s">
        <v>364</v>
      </c>
      <c r="E268" s="127">
        <v>1902</v>
      </c>
      <c r="F268" s="228">
        <f t="shared" si="31"/>
        <v>15.216000000000001</v>
      </c>
      <c r="G268" s="266"/>
    </row>
    <row r="269" spans="1:7" x14ac:dyDescent="0.25">
      <c r="A269" s="80" t="s">
        <v>89</v>
      </c>
      <c r="B269" s="225" t="s">
        <v>240</v>
      </c>
      <c r="C269" s="127" t="s">
        <v>107</v>
      </c>
      <c r="D269" s="127" t="s">
        <v>365</v>
      </c>
      <c r="E269" s="127">
        <v>1902</v>
      </c>
      <c r="F269" s="228">
        <f t="shared" si="31"/>
        <v>6.0864000000000003</v>
      </c>
      <c r="G269" s="266"/>
    </row>
    <row r="270" spans="1:7" s="54" customFormat="1" x14ac:dyDescent="0.25">
      <c r="A270" s="80" t="s">
        <v>89</v>
      </c>
      <c r="B270" s="225" t="s">
        <v>199</v>
      </c>
      <c r="C270" s="127" t="s">
        <v>200</v>
      </c>
      <c r="D270" s="127" t="s">
        <v>366</v>
      </c>
      <c r="E270" s="127">
        <v>1902</v>
      </c>
      <c r="F270" s="228">
        <f t="shared" si="31"/>
        <v>35.301119999999997</v>
      </c>
      <c r="G270" s="266"/>
    </row>
    <row r="271" spans="1:7" s="54" customFormat="1" x14ac:dyDescent="0.25">
      <c r="A271" s="80" t="s">
        <v>89</v>
      </c>
      <c r="B271" s="225" t="s">
        <v>208</v>
      </c>
      <c r="C271" s="127" t="s">
        <v>209</v>
      </c>
      <c r="D271" s="127" t="s">
        <v>367</v>
      </c>
      <c r="E271" s="127">
        <v>1902</v>
      </c>
      <c r="F271" s="228">
        <f t="shared" si="31"/>
        <v>20.480736</v>
      </c>
      <c r="G271" s="266"/>
    </row>
    <row r="272" spans="1:7" x14ac:dyDescent="0.25">
      <c r="A272" s="77" t="s">
        <v>560</v>
      </c>
      <c r="B272" s="252" t="s">
        <v>92</v>
      </c>
      <c r="C272" s="47"/>
      <c r="D272" s="47"/>
      <c r="E272" s="47"/>
      <c r="F272" s="257">
        <f>SUM(F273:F278)</f>
        <v>1.3791402000000001</v>
      </c>
      <c r="G272" s="266"/>
    </row>
    <row r="273" spans="1:7" x14ac:dyDescent="0.25">
      <c r="A273" s="80" t="s">
        <v>89</v>
      </c>
      <c r="B273" s="225" t="s">
        <v>368</v>
      </c>
      <c r="C273" s="127" t="s">
        <v>107</v>
      </c>
      <c r="D273" s="127" t="s">
        <v>369</v>
      </c>
      <c r="E273" s="127">
        <v>1902</v>
      </c>
      <c r="F273" s="228">
        <f t="shared" ref="F273:F278" si="32">D273*E273</f>
        <v>1.1381568</v>
      </c>
      <c r="G273" s="266"/>
    </row>
    <row r="274" spans="1:7" x14ac:dyDescent="0.25">
      <c r="A274" s="80" t="s">
        <v>89</v>
      </c>
      <c r="B274" s="225" t="s">
        <v>193</v>
      </c>
      <c r="C274" s="127" t="s">
        <v>200</v>
      </c>
      <c r="D274" s="127" t="s">
        <v>370</v>
      </c>
      <c r="E274" s="127">
        <v>1902</v>
      </c>
      <c r="F274" s="228">
        <f t="shared" si="32"/>
        <v>6.0863999999999994E-2</v>
      </c>
      <c r="G274" s="266"/>
    </row>
    <row r="275" spans="1:7" x14ac:dyDescent="0.25">
      <c r="A275" s="80" t="s">
        <v>89</v>
      </c>
      <c r="B275" s="225" t="s">
        <v>207</v>
      </c>
      <c r="C275" s="127" t="s">
        <v>107</v>
      </c>
      <c r="D275" s="127" t="s">
        <v>371</v>
      </c>
      <c r="E275" s="127">
        <v>1902</v>
      </c>
      <c r="F275" s="228">
        <f t="shared" si="32"/>
        <v>7.3036799999999999E-2</v>
      </c>
      <c r="G275" s="266"/>
    </row>
    <row r="276" spans="1:7" x14ac:dyDescent="0.25">
      <c r="A276" s="80" t="s">
        <v>89</v>
      </c>
      <c r="B276" s="225" t="s">
        <v>240</v>
      </c>
      <c r="C276" s="127" t="s">
        <v>107</v>
      </c>
      <c r="D276" s="127" t="s">
        <v>372</v>
      </c>
      <c r="E276" s="127">
        <v>1902</v>
      </c>
      <c r="F276" s="228">
        <f t="shared" si="32"/>
        <v>2.0731800000000002E-2</v>
      </c>
      <c r="G276" s="266"/>
    </row>
    <row r="277" spans="1:7" x14ac:dyDescent="0.25">
      <c r="A277" s="80" t="s">
        <v>89</v>
      </c>
      <c r="B277" s="225" t="s">
        <v>199</v>
      </c>
      <c r="C277" s="127" t="s">
        <v>200</v>
      </c>
      <c r="D277" s="127" t="s">
        <v>372</v>
      </c>
      <c r="E277" s="127">
        <v>1902</v>
      </c>
      <c r="F277" s="228">
        <f t="shared" si="32"/>
        <v>2.0731800000000002E-2</v>
      </c>
      <c r="G277" s="266"/>
    </row>
    <row r="278" spans="1:7" x14ac:dyDescent="0.25">
      <c r="A278" s="80" t="s">
        <v>89</v>
      </c>
      <c r="B278" s="225" t="s">
        <v>208</v>
      </c>
      <c r="C278" s="127" t="s">
        <v>209</v>
      </c>
      <c r="D278" s="127" t="s">
        <v>373</v>
      </c>
      <c r="E278" s="127">
        <v>1902</v>
      </c>
      <c r="F278" s="228">
        <f t="shared" si="32"/>
        <v>6.5618999999999997E-2</v>
      </c>
      <c r="G278" s="266"/>
    </row>
    <row r="279" spans="1:7" x14ac:dyDescent="0.25">
      <c r="A279" s="77" t="s">
        <v>180</v>
      </c>
      <c r="B279" s="251" t="s">
        <v>87</v>
      </c>
      <c r="C279" s="47"/>
      <c r="D279" s="47"/>
      <c r="E279" s="47"/>
      <c r="F279" s="257">
        <v>0</v>
      </c>
      <c r="G279" s="266" t="s">
        <v>627</v>
      </c>
    </row>
    <row r="280" spans="1:7" x14ac:dyDescent="0.25">
      <c r="A280" s="77" t="s">
        <v>181</v>
      </c>
      <c r="B280" s="251" t="s">
        <v>88</v>
      </c>
      <c r="C280" s="47"/>
      <c r="D280" s="47"/>
      <c r="E280" s="47"/>
      <c r="F280" s="257">
        <v>0</v>
      </c>
      <c r="G280" s="266" t="s">
        <v>54</v>
      </c>
    </row>
    <row r="281" spans="1:7" x14ac:dyDescent="0.25">
      <c r="A281" s="78" t="s">
        <v>177</v>
      </c>
      <c r="B281" s="148" t="s">
        <v>94</v>
      </c>
      <c r="C281" s="127"/>
      <c r="D281" s="127"/>
      <c r="E281" s="127"/>
      <c r="F281" s="228"/>
      <c r="G281" s="241">
        <v>0.82</v>
      </c>
    </row>
    <row r="282" spans="1:7" x14ac:dyDescent="0.25">
      <c r="A282" s="77" t="s">
        <v>178</v>
      </c>
      <c r="B282" s="251" t="s">
        <v>85</v>
      </c>
      <c r="C282" s="47"/>
      <c r="D282" s="47"/>
      <c r="E282" s="47"/>
      <c r="F282" s="257">
        <v>0</v>
      </c>
      <c r="G282" s="266" t="s">
        <v>627</v>
      </c>
    </row>
    <row r="283" spans="1:7" x14ac:dyDescent="0.25">
      <c r="A283" s="77" t="s">
        <v>179</v>
      </c>
      <c r="B283" s="251" t="s">
        <v>86</v>
      </c>
      <c r="C283" s="47"/>
      <c r="D283" s="47"/>
      <c r="E283" s="47"/>
      <c r="F283" s="257"/>
      <c r="G283" s="266"/>
    </row>
    <row r="284" spans="1:7" x14ac:dyDescent="0.25">
      <c r="A284" s="77" t="s">
        <v>552</v>
      </c>
      <c r="B284" s="252" t="s">
        <v>90</v>
      </c>
      <c r="C284" s="47"/>
      <c r="D284" s="127"/>
      <c r="E284" s="127"/>
      <c r="F284" s="257">
        <f>$F$258*0.82</f>
        <v>386.478792</v>
      </c>
      <c r="G284" s="215"/>
    </row>
    <row r="285" spans="1:7" x14ac:dyDescent="0.25">
      <c r="A285" s="77" t="s">
        <v>553</v>
      </c>
      <c r="B285" s="252" t="s">
        <v>91</v>
      </c>
      <c r="C285" s="47"/>
      <c r="D285" s="127"/>
      <c r="E285" s="127"/>
      <c r="F285" s="257">
        <f>$F$265*0.82</f>
        <v>352.67827391999998</v>
      </c>
      <c r="G285" s="215"/>
    </row>
    <row r="286" spans="1:7" x14ac:dyDescent="0.25">
      <c r="A286" s="77" t="s">
        <v>554</v>
      </c>
      <c r="B286" s="252" t="s">
        <v>92</v>
      </c>
      <c r="C286" s="47"/>
      <c r="D286" s="127"/>
      <c r="E286" s="127"/>
      <c r="F286" s="257">
        <f>$F$272*0.82</f>
        <v>1.1308949640000001</v>
      </c>
      <c r="G286" s="266"/>
    </row>
    <row r="287" spans="1:7" x14ac:dyDescent="0.25">
      <c r="A287" s="77" t="s">
        <v>182</v>
      </c>
      <c r="B287" s="251" t="s">
        <v>87</v>
      </c>
      <c r="C287" s="47"/>
      <c r="D287" s="47"/>
      <c r="E287" s="47"/>
      <c r="F287" s="257">
        <v>0</v>
      </c>
      <c r="G287" s="266" t="s">
        <v>627</v>
      </c>
    </row>
    <row r="288" spans="1:7" x14ac:dyDescent="0.25">
      <c r="A288" s="77" t="s">
        <v>183</v>
      </c>
      <c r="B288" s="251" t="s">
        <v>88</v>
      </c>
      <c r="C288" s="47"/>
      <c r="D288" s="47"/>
      <c r="E288" s="47"/>
      <c r="F288" s="257">
        <v>0</v>
      </c>
      <c r="G288" s="266" t="s">
        <v>54</v>
      </c>
    </row>
    <row r="289" spans="1:7" ht="31.5" x14ac:dyDescent="0.25">
      <c r="A289" s="302" t="s">
        <v>184</v>
      </c>
      <c r="B289" s="143" t="s">
        <v>95</v>
      </c>
      <c r="C289" s="127"/>
      <c r="D289" s="127"/>
      <c r="E289" s="127"/>
      <c r="F289" s="228"/>
      <c r="G289" s="303">
        <v>1.05</v>
      </c>
    </row>
    <row r="290" spans="1:7" x14ac:dyDescent="0.25">
      <c r="A290" s="77" t="s">
        <v>185</v>
      </c>
      <c r="B290" s="251" t="s">
        <v>85</v>
      </c>
      <c r="C290" s="47"/>
      <c r="D290" s="47"/>
      <c r="E290" s="47"/>
      <c r="F290" s="257">
        <v>0</v>
      </c>
      <c r="G290" s="266" t="s">
        <v>627</v>
      </c>
    </row>
    <row r="291" spans="1:7" x14ac:dyDescent="0.25">
      <c r="A291" s="77" t="s">
        <v>186</v>
      </c>
      <c r="B291" s="251" t="s">
        <v>86</v>
      </c>
      <c r="C291" s="47"/>
      <c r="D291" s="47"/>
      <c r="E291" s="47"/>
      <c r="F291" s="257"/>
      <c r="G291" s="266"/>
    </row>
    <row r="292" spans="1:7" x14ac:dyDescent="0.25">
      <c r="A292" s="77" t="s">
        <v>555</v>
      </c>
      <c r="B292" s="252" t="s">
        <v>90</v>
      </c>
      <c r="C292" s="47"/>
      <c r="D292" s="127"/>
      <c r="E292" s="127"/>
      <c r="F292" s="257">
        <f>$F$258*1.05</f>
        <v>494.88138000000004</v>
      </c>
      <c r="G292" s="266"/>
    </row>
    <row r="293" spans="1:7" x14ac:dyDescent="0.25">
      <c r="A293" s="77" t="s">
        <v>556</v>
      </c>
      <c r="B293" s="252" t="s">
        <v>91</v>
      </c>
      <c r="C293" s="47"/>
      <c r="D293" s="127"/>
      <c r="E293" s="127"/>
      <c r="F293" s="257">
        <f>$F$265*1.05</f>
        <v>451.60022880000002</v>
      </c>
      <c r="G293" s="266"/>
    </row>
    <row r="294" spans="1:7" x14ac:dyDescent="0.25">
      <c r="A294" s="77" t="s">
        <v>557</v>
      </c>
      <c r="B294" s="252" t="s">
        <v>92</v>
      </c>
      <c r="C294" s="47"/>
      <c r="D294" s="127"/>
      <c r="E294" s="127"/>
      <c r="F294" s="257">
        <f>$F$272*1.05</f>
        <v>1.4480972100000002</v>
      </c>
      <c r="G294" s="266"/>
    </row>
    <row r="295" spans="1:7" x14ac:dyDescent="0.25">
      <c r="A295" s="77" t="s">
        <v>187</v>
      </c>
      <c r="B295" s="251" t="s">
        <v>87</v>
      </c>
      <c r="C295" s="127"/>
      <c r="D295" s="127"/>
      <c r="E295" s="127"/>
      <c r="F295" s="228">
        <v>0</v>
      </c>
      <c r="G295" s="266" t="s">
        <v>627</v>
      </c>
    </row>
    <row r="296" spans="1:7" x14ac:dyDescent="0.25">
      <c r="A296" s="339" t="s">
        <v>188</v>
      </c>
      <c r="B296" s="336" t="s">
        <v>88</v>
      </c>
      <c r="C296" s="242"/>
      <c r="D296" s="242"/>
      <c r="E296" s="242"/>
      <c r="F296" s="268">
        <v>0</v>
      </c>
      <c r="G296" s="338" t="s">
        <v>54</v>
      </c>
    </row>
    <row r="297" spans="1:7" ht="31.5" x14ac:dyDescent="0.25">
      <c r="A297" s="78" t="s">
        <v>617</v>
      </c>
      <c r="B297" s="383" t="s">
        <v>618</v>
      </c>
      <c r="C297" s="127"/>
      <c r="D297" s="127"/>
      <c r="E297" s="127"/>
      <c r="F297" s="228"/>
      <c r="G297" s="303" t="s">
        <v>630</v>
      </c>
    </row>
    <row r="298" spans="1:7" x14ac:dyDescent="0.25">
      <c r="A298" s="77" t="s">
        <v>619</v>
      </c>
      <c r="B298" s="251" t="s">
        <v>85</v>
      </c>
      <c r="C298" s="127"/>
      <c r="D298" s="127"/>
      <c r="E298" s="127"/>
      <c r="F298" s="228">
        <v>0</v>
      </c>
      <c r="G298" s="266" t="s">
        <v>627</v>
      </c>
    </row>
    <row r="299" spans="1:7" x14ac:dyDescent="0.25">
      <c r="A299" s="77" t="s">
        <v>620</v>
      </c>
      <c r="B299" s="251" t="s">
        <v>86</v>
      </c>
      <c r="C299" s="127"/>
      <c r="D299" s="127"/>
      <c r="E299" s="127"/>
      <c r="F299" s="228"/>
      <c r="G299" s="266"/>
    </row>
    <row r="300" spans="1:7" x14ac:dyDescent="0.25">
      <c r="A300" s="77" t="s">
        <v>621</v>
      </c>
      <c r="B300" s="252" t="s">
        <v>90</v>
      </c>
      <c r="C300" s="47" t="s">
        <v>355</v>
      </c>
      <c r="D300" s="127"/>
      <c r="E300" s="127"/>
      <c r="F300" s="257">
        <f>F258*0.79</f>
        <v>372.33932400000003</v>
      </c>
      <c r="G300" s="266"/>
    </row>
    <row r="301" spans="1:7" x14ac:dyDescent="0.25">
      <c r="A301" s="77" t="s">
        <v>622</v>
      </c>
      <c r="B301" s="252" t="s">
        <v>91</v>
      </c>
      <c r="C301" s="47" t="s">
        <v>323</v>
      </c>
      <c r="D301" s="127"/>
      <c r="E301" s="127"/>
      <c r="F301" s="257">
        <f>F265*0.79</f>
        <v>339.77541024000004</v>
      </c>
      <c r="G301" s="266"/>
    </row>
    <row r="302" spans="1:7" x14ac:dyDescent="0.25">
      <c r="A302" s="77" t="s">
        <v>623</v>
      </c>
      <c r="B302" s="252" t="s">
        <v>92</v>
      </c>
      <c r="C302" s="47" t="s">
        <v>322</v>
      </c>
      <c r="D302" s="127"/>
      <c r="E302" s="127"/>
      <c r="F302" s="257">
        <f>F272*0.79</f>
        <v>1.0895207580000001</v>
      </c>
      <c r="G302" s="266"/>
    </row>
    <row r="303" spans="1:7" x14ac:dyDescent="0.25">
      <c r="A303" s="77" t="s">
        <v>624</v>
      </c>
      <c r="B303" s="251" t="s">
        <v>87</v>
      </c>
      <c r="C303" s="127"/>
      <c r="D303" s="127"/>
      <c r="E303" s="127"/>
      <c r="F303" s="228">
        <v>0</v>
      </c>
      <c r="G303" s="266" t="s">
        <v>627</v>
      </c>
    </row>
    <row r="304" spans="1:7" x14ac:dyDescent="0.25">
      <c r="A304" s="339" t="s">
        <v>625</v>
      </c>
      <c r="B304" s="336" t="s">
        <v>88</v>
      </c>
      <c r="C304" s="242"/>
      <c r="D304" s="242"/>
      <c r="E304" s="242"/>
      <c r="F304" s="268">
        <v>0</v>
      </c>
      <c r="G304" s="338" t="s">
        <v>54</v>
      </c>
    </row>
  </sheetData>
  <mergeCells count="4">
    <mergeCell ref="A1:G1"/>
    <mergeCell ref="A2:G2"/>
    <mergeCell ref="A3:G3"/>
    <mergeCell ref="A4:G4"/>
  </mergeCells>
  <pageMargins left="0.7" right="0.7" top="0.75" bottom="0.75" header="0.3" footer="0.3"/>
  <legacyDrawing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H349"/>
  <sheetViews>
    <sheetView zoomScale="90" zoomScaleNormal="90" workbookViewId="0">
      <pane xSplit="2" ySplit="8" topLeftCell="C9" activePane="bottomRight" state="frozen"/>
      <selection pane="topRight" activeCell="C1" sqref="C1"/>
      <selection pane="bottomLeft" activeCell="A9" sqref="A9"/>
      <selection pane="bottomRight" activeCell="A5" sqref="A5"/>
    </sheetView>
  </sheetViews>
  <sheetFormatPr defaultRowHeight="15" x14ac:dyDescent="0.25"/>
  <cols>
    <col min="1" max="1" width="10" style="57" customWidth="1"/>
    <col min="2" max="2" width="56.28515625" style="57" customWidth="1"/>
    <col min="3" max="3" width="25.140625" style="220" customWidth="1"/>
    <col min="4" max="4" width="19.5703125" style="220" bestFit="1" customWidth="1"/>
    <col min="5" max="5" width="15.28515625" style="221" customWidth="1"/>
    <col min="6" max="6" width="15.85546875" style="220" customWidth="1"/>
    <col min="7" max="7" width="15.7109375" style="222" customWidth="1"/>
    <col min="8" max="8" width="36.42578125" style="220" customWidth="1"/>
    <col min="9" max="16384" width="9.140625" style="57"/>
  </cols>
  <sheetData>
    <row r="1" spans="1:8" ht="15.75" x14ac:dyDescent="0.25">
      <c r="A1" s="454" t="s">
        <v>382</v>
      </c>
      <c r="B1" s="454"/>
      <c r="C1" s="454"/>
      <c r="D1" s="454"/>
      <c r="E1" s="454"/>
      <c r="F1" s="454"/>
      <c r="G1" s="454"/>
      <c r="H1" s="454"/>
    </row>
    <row r="2" spans="1:8" ht="15.75" x14ac:dyDescent="0.25">
      <c r="A2" s="455" t="s">
        <v>55</v>
      </c>
      <c r="B2" s="455"/>
      <c r="C2" s="455"/>
      <c r="D2" s="455"/>
      <c r="E2" s="455"/>
      <c r="F2" s="455"/>
      <c r="G2" s="455"/>
      <c r="H2" s="455"/>
    </row>
    <row r="3" spans="1:8" ht="15.75" x14ac:dyDescent="0.25">
      <c r="A3" s="455" t="s">
        <v>607</v>
      </c>
      <c r="B3" s="455"/>
      <c r="C3" s="455"/>
      <c r="D3" s="455"/>
      <c r="E3" s="455"/>
      <c r="F3" s="455"/>
      <c r="G3" s="455"/>
      <c r="H3" s="455"/>
    </row>
    <row r="4" spans="1:8" ht="15.75" x14ac:dyDescent="0.25">
      <c r="A4" s="444" t="s">
        <v>664</v>
      </c>
      <c r="B4" s="444"/>
      <c r="C4" s="444"/>
      <c r="D4" s="444"/>
      <c r="E4" s="444"/>
      <c r="F4" s="444"/>
      <c r="G4" s="444"/>
      <c r="H4" s="444"/>
    </row>
    <row r="5" spans="1:8" ht="15.75" x14ac:dyDescent="0.25">
      <c r="A5" s="168"/>
      <c r="B5" s="206"/>
      <c r="C5" s="168"/>
      <c r="D5" s="168"/>
      <c r="E5" s="207"/>
      <c r="F5" s="168"/>
      <c r="G5" s="208"/>
      <c r="H5" s="209">
        <v>1490000</v>
      </c>
    </row>
    <row r="6" spans="1:8" ht="15.75" x14ac:dyDescent="0.25">
      <c r="A6" s="168"/>
      <c r="B6" s="206"/>
      <c r="C6" s="168"/>
      <c r="D6" s="168"/>
      <c r="E6" s="207"/>
      <c r="F6" s="168"/>
      <c r="G6" s="208"/>
      <c r="H6" s="210" t="s">
        <v>1</v>
      </c>
    </row>
    <row r="7" spans="1:8" ht="31.5" x14ac:dyDescent="0.25">
      <c r="A7" s="118" t="s">
        <v>2</v>
      </c>
      <c r="B7" s="114" t="s">
        <v>395</v>
      </c>
      <c r="C7" s="119" t="s">
        <v>396</v>
      </c>
      <c r="D7" s="120" t="s">
        <v>377</v>
      </c>
      <c r="E7" s="211" t="s">
        <v>397</v>
      </c>
      <c r="F7" s="212" t="s">
        <v>398</v>
      </c>
      <c r="G7" s="213" t="s">
        <v>111</v>
      </c>
      <c r="H7" s="121" t="s">
        <v>53</v>
      </c>
    </row>
    <row r="8" spans="1:8" s="219" customFormat="1" ht="12.75" x14ac:dyDescent="0.2">
      <c r="A8" s="214" t="s">
        <v>11</v>
      </c>
      <c r="B8" s="42" t="s">
        <v>12</v>
      </c>
      <c r="C8" s="215" t="s">
        <v>13</v>
      </c>
      <c r="D8" s="216" t="s">
        <v>399</v>
      </c>
      <c r="E8" s="215">
        <v>1</v>
      </c>
      <c r="F8" s="215">
        <v>2</v>
      </c>
      <c r="G8" s="217" t="s">
        <v>112</v>
      </c>
      <c r="H8" s="218"/>
    </row>
    <row r="9" spans="1:8" ht="15.75" x14ac:dyDescent="0.25">
      <c r="A9" s="78" t="s">
        <v>114</v>
      </c>
      <c r="B9" s="143" t="s">
        <v>15</v>
      </c>
      <c r="C9" s="127"/>
      <c r="D9" s="127"/>
      <c r="E9" s="227"/>
      <c r="F9" s="127"/>
      <c r="G9" s="228"/>
      <c r="H9" s="259"/>
    </row>
    <row r="10" spans="1:8" ht="15.75" x14ac:dyDescent="0.25">
      <c r="A10" s="79" t="s">
        <v>115</v>
      </c>
      <c r="B10" s="48" t="s">
        <v>16</v>
      </c>
      <c r="C10" s="127" t="s">
        <v>411</v>
      </c>
      <c r="D10" s="127" t="str">
        <f>VLOOKUP(A10,LUONGNGAY!$A$12:$K$90,11,0)</f>
        <v>KS2</v>
      </c>
      <c r="E10" s="227">
        <f>VLOOKUP(A10,LUONGNGAY!$A$11:$O$90,15,0)</f>
        <v>188969</v>
      </c>
      <c r="F10" s="127" t="s">
        <v>403</v>
      </c>
      <c r="G10" s="228">
        <f>E10*F10</f>
        <v>56.690699999999993</v>
      </c>
      <c r="H10" s="259" t="s">
        <v>392</v>
      </c>
    </row>
    <row r="11" spans="1:8" ht="38.25" x14ac:dyDescent="0.25">
      <c r="A11" s="79" t="s">
        <v>116</v>
      </c>
      <c r="B11" s="48" t="s">
        <v>17</v>
      </c>
      <c r="C11" s="127"/>
      <c r="D11" s="127"/>
      <c r="E11" s="227"/>
      <c r="F11" s="127"/>
      <c r="G11" s="228"/>
      <c r="H11" s="265" t="s">
        <v>52</v>
      </c>
    </row>
    <row r="12" spans="1:8" ht="15.75" x14ac:dyDescent="0.25">
      <c r="A12" s="202" t="s">
        <v>228</v>
      </c>
      <c r="B12" s="278" t="s">
        <v>413</v>
      </c>
      <c r="C12" s="44"/>
      <c r="D12" s="127"/>
      <c r="E12" s="227"/>
      <c r="F12" s="127"/>
      <c r="G12" s="228"/>
      <c r="H12" s="412"/>
    </row>
    <row r="13" spans="1:8" ht="15.75" x14ac:dyDescent="0.25">
      <c r="A13" s="79" t="s">
        <v>89</v>
      </c>
      <c r="B13" s="48" t="s">
        <v>224</v>
      </c>
      <c r="C13" s="127" t="s">
        <v>411</v>
      </c>
      <c r="D13" s="127" t="str">
        <f>LUONGNGAY26[[#Headers],[KS1]]</f>
        <v>KS1</v>
      </c>
      <c r="E13" s="227">
        <f>'LUONGNGAY-TT26'!H17</f>
        <v>188969.25</v>
      </c>
      <c r="F13" s="127">
        <f>'LUONGNGAY-TT26'!I17</f>
        <v>2.48E-3</v>
      </c>
      <c r="G13" s="228">
        <f>NHANCONG[[#This Row],[Lương
ngày]]*NHANCONG[[#This Row],[Định
mức]]</f>
        <v>468.64373999999998</v>
      </c>
      <c r="H13" s="412"/>
    </row>
    <row r="14" spans="1:8" ht="15.75" x14ac:dyDescent="0.25">
      <c r="A14" s="79" t="s">
        <v>89</v>
      </c>
      <c r="B14" s="48" t="s">
        <v>225</v>
      </c>
      <c r="C14" s="127" t="s">
        <v>411</v>
      </c>
      <c r="D14" s="127" t="str">
        <f>LUONGNGAY26[[#Headers],[KS1]]</f>
        <v>KS1</v>
      </c>
      <c r="E14" s="227">
        <f>'LUONGNGAY-TT26'!H18</f>
        <v>188969.25</v>
      </c>
      <c r="F14" s="127">
        <f>'LUONGNGAY-TT26'!I18</f>
        <v>4.4000000000000003E-3</v>
      </c>
      <c r="G14" s="228">
        <f>NHANCONG[[#This Row],[Lương
ngày]]*NHANCONG[[#This Row],[Định
mức]]</f>
        <v>831.46469999999999</v>
      </c>
      <c r="H14" s="412"/>
    </row>
    <row r="15" spans="1:8" ht="15.75" x14ac:dyDescent="0.25">
      <c r="A15" s="79" t="s">
        <v>89</v>
      </c>
      <c r="B15" s="48" t="s">
        <v>232</v>
      </c>
      <c r="C15" s="127" t="s">
        <v>412</v>
      </c>
      <c r="D15" s="127" t="str">
        <f>LUONGNGAY26[[#Headers],[KS1]]</f>
        <v>KS1</v>
      </c>
      <c r="E15" s="227">
        <f>'LUONGNGAY-TT26'!H19</f>
        <v>188969.25</v>
      </c>
      <c r="F15" s="127">
        <f>'LUONGNGAY-TT26'!I19</f>
        <v>4.5359999999999998E-2</v>
      </c>
      <c r="G15" s="228">
        <f>NHANCONG[[#This Row],[Lương
ngày]]*NHANCONG[[#This Row],[Định
mức]]</f>
        <v>8571.6451799999995</v>
      </c>
      <c r="H15" s="412"/>
    </row>
    <row r="16" spans="1:8" ht="15.75" x14ac:dyDescent="0.25">
      <c r="A16" s="79" t="s">
        <v>89</v>
      </c>
      <c r="B16" s="48" t="s">
        <v>233</v>
      </c>
      <c r="C16" s="127" t="s">
        <v>412</v>
      </c>
      <c r="D16" s="127" t="str">
        <f>LUONGNGAY26[[#Headers],[KS1]]</f>
        <v>KS1</v>
      </c>
      <c r="E16" s="227">
        <f>'LUONGNGAY-TT26'!H20</f>
        <v>188969.25</v>
      </c>
      <c r="F16" s="127">
        <f>'LUONGNGAY-TT26'!I20</f>
        <v>5.3600000000000002E-2</v>
      </c>
      <c r="G16" s="228">
        <f>NHANCONG[[#This Row],[Lương
ngày]]*NHANCONG[[#This Row],[Định
mức]]</f>
        <v>10128.7518</v>
      </c>
      <c r="H16" s="412"/>
    </row>
    <row r="17" spans="1:8" ht="31.5" x14ac:dyDescent="0.25">
      <c r="A17" s="79" t="s">
        <v>89</v>
      </c>
      <c r="B17" s="48" t="s">
        <v>226</v>
      </c>
      <c r="C17" s="127" t="s">
        <v>411</v>
      </c>
      <c r="D17" s="127" t="str">
        <f>LUONGNGAY26[[#Headers],[KS1]]</f>
        <v>KS1</v>
      </c>
      <c r="E17" s="227">
        <f>'LUONGNGAY-TT26'!H21</f>
        <v>188969.25</v>
      </c>
      <c r="F17" s="127">
        <f>'LUONGNGAY-TT26'!I21</f>
        <v>7.2000000000000005E-4</v>
      </c>
      <c r="G17" s="228">
        <f>NHANCONG[[#This Row],[Lương
ngày]]*NHANCONG[[#This Row],[Định
mức]]</f>
        <v>136.05786000000001</v>
      </c>
      <c r="H17" s="412"/>
    </row>
    <row r="18" spans="1:8" ht="15.75" x14ac:dyDescent="0.25">
      <c r="A18" s="79" t="s">
        <v>89</v>
      </c>
      <c r="B18" s="48" t="s">
        <v>610</v>
      </c>
      <c r="C18" s="127" t="s">
        <v>411</v>
      </c>
      <c r="D18" s="127" t="str">
        <f>LUONGNGAY26[[#Headers],[KS1]]</f>
        <v>KS1</v>
      </c>
      <c r="E18" s="227">
        <f>'LUONGNGAY-TT26'!H22</f>
        <v>188969.25</v>
      </c>
      <c r="F18" s="127">
        <f>'LUONGNGAY-TT26'!I22</f>
        <v>1.1999999999999999E-3</v>
      </c>
      <c r="G18" s="228">
        <f>NHANCONG[[#This Row],[Lương
ngày]]*NHANCONG[[#This Row],[Định
mức]]</f>
        <v>226.76309999999998</v>
      </c>
      <c r="H18" s="412"/>
    </row>
    <row r="19" spans="1:8" ht="31.5" x14ac:dyDescent="0.25">
      <c r="A19" s="79" t="s">
        <v>89</v>
      </c>
      <c r="B19" s="48" t="s">
        <v>234</v>
      </c>
      <c r="C19" s="127" t="s">
        <v>412</v>
      </c>
      <c r="D19" s="127" t="str">
        <f>LUONGNGAY26[[#Headers],[KS1]]</f>
        <v>KS1</v>
      </c>
      <c r="E19" s="227">
        <f>'LUONGNGAY-TT26'!H23</f>
        <v>188969.25</v>
      </c>
      <c r="F19" s="127">
        <f>'LUONGNGAY-TT26'!I23</f>
        <v>1.1440000000000001E-2</v>
      </c>
      <c r="G19" s="228">
        <f>NHANCONG[[#This Row],[Lương
ngày]]*NHANCONG[[#This Row],[Định
mức]]</f>
        <v>2161.8082199999999</v>
      </c>
      <c r="H19" s="412"/>
    </row>
    <row r="20" spans="1:8" ht="31.5" x14ac:dyDescent="0.25">
      <c r="A20" s="79" t="s">
        <v>89</v>
      </c>
      <c r="B20" s="48" t="s">
        <v>227</v>
      </c>
      <c r="C20" s="127" t="s">
        <v>412</v>
      </c>
      <c r="D20" s="127" t="str">
        <f>LUONGNGAY26[[#Headers],[KS1]]</f>
        <v>KS1</v>
      </c>
      <c r="E20" s="227">
        <f>'LUONGNGAY-TT26'!H24</f>
        <v>188969.25</v>
      </c>
      <c r="F20" s="127">
        <f>'LUONGNGAY-TT26'!I24</f>
        <v>1.3599999999999999E-2</v>
      </c>
      <c r="G20" s="228">
        <f>NHANCONG[[#This Row],[Lương
ngày]]*NHANCONG[[#This Row],[Định
mức]]</f>
        <v>2569.9818</v>
      </c>
      <c r="H20" s="412"/>
    </row>
    <row r="21" spans="1:8" ht="15.75" x14ac:dyDescent="0.25">
      <c r="A21" s="202" t="s">
        <v>229</v>
      </c>
      <c r="B21" s="278" t="s">
        <v>414</v>
      </c>
      <c r="C21" s="44"/>
      <c r="D21" s="127"/>
      <c r="E21" s="227"/>
      <c r="F21" s="127"/>
      <c r="G21" s="228"/>
      <c r="H21" s="412"/>
    </row>
    <row r="22" spans="1:8" ht="15.75" x14ac:dyDescent="0.25">
      <c r="A22" s="79" t="s">
        <v>89</v>
      </c>
      <c r="B22" s="48" t="s">
        <v>224</v>
      </c>
      <c r="C22" s="127" t="s">
        <v>411</v>
      </c>
      <c r="D22" s="127" t="str">
        <f>LUONGNGAY26[[#Headers],[KS1]]</f>
        <v>KS1</v>
      </c>
      <c r="E22" s="227">
        <f>'LUONGNGAY-TT26'!H26</f>
        <v>188969.25</v>
      </c>
      <c r="F22" s="127">
        <f>'LUONGNGAY-TT26'!I26</f>
        <v>3.0999999999999999E-3</v>
      </c>
      <c r="G22" s="228">
        <f>NHANCONG[[#This Row],[Lương
ngày]]*NHANCONG[[#This Row],[Định
mức]]</f>
        <v>585.80467499999997</v>
      </c>
      <c r="H22" s="412"/>
    </row>
    <row r="23" spans="1:8" ht="15.75" x14ac:dyDescent="0.25">
      <c r="A23" s="79" t="s">
        <v>89</v>
      </c>
      <c r="B23" s="48" t="s">
        <v>225</v>
      </c>
      <c r="C23" s="127" t="s">
        <v>411</v>
      </c>
      <c r="D23" s="127" t="str">
        <f>LUONGNGAY26[[#Headers],[KS1]]</f>
        <v>KS1</v>
      </c>
      <c r="E23" s="227">
        <f>'LUONGNGAY-TT26'!H27</f>
        <v>188969.25</v>
      </c>
      <c r="F23" s="127">
        <f>'LUONGNGAY-TT26'!I27</f>
        <v>5.4999999999999997E-3</v>
      </c>
      <c r="G23" s="228">
        <f>NHANCONG[[#This Row],[Lương
ngày]]*NHANCONG[[#This Row],[Định
mức]]</f>
        <v>1039.3308749999999</v>
      </c>
      <c r="H23" s="412"/>
    </row>
    <row r="24" spans="1:8" ht="15.75" x14ac:dyDescent="0.25">
      <c r="A24" s="79" t="s">
        <v>89</v>
      </c>
      <c r="B24" s="48" t="s">
        <v>232</v>
      </c>
      <c r="C24" s="127" t="s">
        <v>412</v>
      </c>
      <c r="D24" s="127" t="str">
        <f>LUONGNGAY26[[#Headers],[KS1]]</f>
        <v>KS1</v>
      </c>
      <c r="E24" s="227">
        <f>'LUONGNGAY-TT26'!H28</f>
        <v>188969.25</v>
      </c>
      <c r="F24" s="127">
        <f>'LUONGNGAY-TT26'!I28</f>
        <v>5.67E-2</v>
      </c>
      <c r="G24" s="228">
        <f>NHANCONG[[#This Row],[Lương
ngày]]*NHANCONG[[#This Row],[Định
mức]]</f>
        <v>10714.556474999999</v>
      </c>
      <c r="H24" s="412"/>
    </row>
    <row r="25" spans="1:8" ht="15.75" x14ac:dyDescent="0.25">
      <c r="A25" s="79" t="s">
        <v>89</v>
      </c>
      <c r="B25" s="48" t="s">
        <v>233</v>
      </c>
      <c r="C25" s="127" t="s">
        <v>412</v>
      </c>
      <c r="D25" s="127" t="str">
        <f>LUONGNGAY26[[#Headers],[KS1]]</f>
        <v>KS1</v>
      </c>
      <c r="E25" s="227">
        <f>'LUONGNGAY-TT26'!H29</f>
        <v>188969.25</v>
      </c>
      <c r="F25" s="127">
        <f>'LUONGNGAY-TT26'!I29</f>
        <v>6.7000000000000004E-2</v>
      </c>
      <c r="G25" s="228">
        <f>NHANCONG[[#This Row],[Lương
ngày]]*NHANCONG[[#This Row],[Định
mức]]</f>
        <v>12660.939750000001</v>
      </c>
      <c r="H25" s="412"/>
    </row>
    <row r="26" spans="1:8" ht="31.5" x14ac:dyDescent="0.25">
      <c r="A26" s="79" t="s">
        <v>89</v>
      </c>
      <c r="B26" s="48" t="s">
        <v>226</v>
      </c>
      <c r="C26" s="127" t="s">
        <v>411</v>
      </c>
      <c r="D26" s="127" t="str">
        <f>LUONGNGAY26[[#Headers],[KS1]]</f>
        <v>KS1</v>
      </c>
      <c r="E26" s="227">
        <f>'LUONGNGAY-TT26'!H30</f>
        <v>188969.25</v>
      </c>
      <c r="F26" s="127">
        <f>'LUONGNGAY-TT26'!I30</f>
        <v>8.9999999999999998E-4</v>
      </c>
      <c r="G26" s="228">
        <f>NHANCONG[[#This Row],[Lương
ngày]]*NHANCONG[[#This Row],[Định
mức]]</f>
        <v>170.07232500000001</v>
      </c>
      <c r="H26" s="412"/>
    </row>
    <row r="27" spans="1:8" ht="31.5" x14ac:dyDescent="0.25">
      <c r="A27" s="79" t="s">
        <v>89</v>
      </c>
      <c r="B27" s="48" t="s">
        <v>227</v>
      </c>
      <c r="C27" s="127" t="s">
        <v>411</v>
      </c>
      <c r="D27" s="127" t="str">
        <f>LUONGNGAY26[[#Headers],[KS1]]</f>
        <v>KS1</v>
      </c>
      <c r="E27" s="227">
        <f>'LUONGNGAY-TT26'!H31</f>
        <v>188969.25</v>
      </c>
      <c r="F27" s="127">
        <f>'LUONGNGAY-TT26'!I31</f>
        <v>1.5E-3</v>
      </c>
      <c r="G27" s="228">
        <f>NHANCONG[[#This Row],[Lương
ngày]]*NHANCONG[[#This Row],[Định
mức]]</f>
        <v>283.45387499999998</v>
      </c>
      <c r="H27" s="412"/>
    </row>
    <row r="28" spans="1:8" ht="31.5" x14ac:dyDescent="0.25">
      <c r="A28" s="79" t="s">
        <v>89</v>
      </c>
      <c r="B28" s="48" t="s">
        <v>234</v>
      </c>
      <c r="C28" s="127" t="s">
        <v>412</v>
      </c>
      <c r="D28" s="127" t="str">
        <f>LUONGNGAY26[[#Headers],[KS1]]</f>
        <v>KS1</v>
      </c>
      <c r="E28" s="227">
        <f>'LUONGNGAY-TT26'!H32</f>
        <v>188969.25</v>
      </c>
      <c r="F28" s="127">
        <f>'LUONGNGAY-TT26'!I32</f>
        <v>1.43E-2</v>
      </c>
      <c r="G28" s="228">
        <f>NHANCONG[[#This Row],[Lương
ngày]]*NHANCONG[[#This Row],[Định
mức]]</f>
        <v>2702.2602750000001</v>
      </c>
      <c r="H28" s="412"/>
    </row>
    <row r="29" spans="1:8" ht="31.5" x14ac:dyDescent="0.25">
      <c r="A29" s="79" t="s">
        <v>89</v>
      </c>
      <c r="B29" s="48" t="s">
        <v>227</v>
      </c>
      <c r="C29" s="127" t="s">
        <v>412</v>
      </c>
      <c r="D29" s="127" t="str">
        <f>LUONGNGAY26[[#Headers],[KS1]]</f>
        <v>KS1</v>
      </c>
      <c r="E29" s="227">
        <f>'LUONGNGAY-TT26'!H33</f>
        <v>188969.25</v>
      </c>
      <c r="F29" s="127">
        <f>'LUONGNGAY-TT26'!I33</f>
        <v>1.7000000000000001E-2</v>
      </c>
      <c r="G29" s="228">
        <f>NHANCONG[[#This Row],[Lương
ngày]]*NHANCONG[[#This Row],[Định
mức]]</f>
        <v>3212.4772500000004</v>
      </c>
      <c r="H29" s="412"/>
    </row>
    <row r="30" spans="1:8" ht="15.75" x14ac:dyDescent="0.25">
      <c r="A30" s="202" t="s">
        <v>230</v>
      </c>
      <c r="B30" s="278" t="s">
        <v>415</v>
      </c>
      <c r="C30" s="44"/>
      <c r="D30" s="127"/>
      <c r="E30" s="227"/>
      <c r="F30" s="127"/>
      <c r="G30" s="228"/>
      <c r="H30" s="412"/>
    </row>
    <row r="31" spans="1:8" ht="15.75" x14ac:dyDescent="0.25">
      <c r="A31" s="79" t="s">
        <v>89</v>
      </c>
      <c r="B31" s="48" t="s">
        <v>224</v>
      </c>
      <c r="C31" s="127" t="s">
        <v>411</v>
      </c>
      <c r="D31" s="127" t="str">
        <f>LUONGNGAY26[[#Headers],[KS1]]</f>
        <v>KS1</v>
      </c>
      <c r="E31" s="227">
        <f>'LUONGNGAY-TT26'!H35</f>
        <v>188969.25</v>
      </c>
      <c r="F31" s="127">
        <f>'LUONGNGAY-TT26'!I35</f>
        <v>4.0299999999999997E-3</v>
      </c>
      <c r="G31" s="228">
        <f>NHANCONG[[#This Row],[Lương
ngày]]*NHANCONG[[#This Row],[Định
mức]]</f>
        <v>761.54607749999991</v>
      </c>
      <c r="H31" s="412"/>
    </row>
    <row r="32" spans="1:8" ht="15.75" x14ac:dyDescent="0.25">
      <c r="A32" s="79" t="s">
        <v>89</v>
      </c>
      <c r="B32" s="48" t="s">
        <v>225</v>
      </c>
      <c r="C32" s="127" t="s">
        <v>411</v>
      </c>
      <c r="D32" s="127" t="str">
        <f>LUONGNGAY26[[#Headers],[KS1]]</f>
        <v>KS1</v>
      </c>
      <c r="E32" s="227">
        <f>'LUONGNGAY-TT26'!H36</f>
        <v>188969.25</v>
      </c>
      <c r="F32" s="127">
        <f>'LUONGNGAY-TT26'!I36</f>
        <v>7.1500000000000001E-3</v>
      </c>
      <c r="G32" s="228">
        <f>NHANCONG[[#This Row],[Lương
ngày]]*NHANCONG[[#This Row],[Định
mức]]</f>
        <v>1351.1301375</v>
      </c>
      <c r="H32" s="412"/>
    </row>
    <row r="33" spans="1:8" ht="15.75" x14ac:dyDescent="0.25">
      <c r="A33" s="79" t="s">
        <v>89</v>
      </c>
      <c r="B33" s="48" t="s">
        <v>232</v>
      </c>
      <c r="C33" s="127" t="s">
        <v>412</v>
      </c>
      <c r="D33" s="127" t="str">
        <f>LUONGNGAY26[[#Headers],[KS1]]</f>
        <v>KS1</v>
      </c>
      <c r="E33" s="227">
        <f>'LUONGNGAY-TT26'!H37</f>
        <v>188969.25</v>
      </c>
      <c r="F33" s="127">
        <f>'LUONGNGAY-TT26'!I37</f>
        <v>7.3709999999999998E-2</v>
      </c>
      <c r="G33" s="228">
        <f>NHANCONG[[#This Row],[Lương
ngày]]*NHANCONG[[#This Row],[Định
mức]]</f>
        <v>13928.9234175</v>
      </c>
      <c r="H33" s="412"/>
    </row>
    <row r="34" spans="1:8" ht="15.75" x14ac:dyDescent="0.25">
      <c r="A34" s="79" t="s">
        <v>89</v>
      </c>
      <c r="B34" s="48" t="s">
        <v>233</v>
      </c>
      <c r="C34" s="127" t="s">
        <v>412</v>
      </c>
      <c r="D34" s="127" t="str">
        <f>LUONGNGAY26[[#Headers],[KS1]]</f>
        <v>KS1</v>
      </c>
      <c r="E34" s="227">
        <f>'LUONGNGAY-TT26'!H38</f>
        <v>188969.25</v>
      </c>
      <c r="F34" s="127">
        <f>'LUONGNGAY-TT26'!I38</f>
        <v>8.7099999999999997E-2</v>
      </c>
      <c r="G34" s="228">
        <f>NHANCONG[[#This Row],[Lương
ngày]]*NHANCONG[[#This Row],[Định
mức]]</f>
        <v>16459.221675000001</v>
      </c>
      <c r="H34" s="412"/>
    </row>
    <row r="35" spans="1:8" ht="31.5" x14ac:dyDescent="0.25">
      <c r="A35" s="79" t="s">
        <v>89</v>
      </c>
      <c r="B35" s="48" t="s">
        <v>226</v>
      </c>
      <c r="C35" s="127" t="s">
        <v>411</v>
      </c>
      <c r="D35" s="127" t="str">
        <f>LUONGNGAY26[[#Headers],[KS1]]</f>
        <v>KS1</v>
      </c>
      <c r="E35" s="227">
        <f>'LUONGNGAY-TT26'!H39</f>
        <v>188969.25</v>
      </c>
      <c r="F35" s="127">
        <f>'LUONGNGAY-TT26'!I39</f>
        <v>1.17E-3</v>
      </c>
      <c r="G35" s="228">
        <f>NHANCONG[[#This Row],[Lương
ngày]]*NHANCONG[[#This Row],[Định
mức]]</f>
        <v>221.09402249999999</v>
      </c>
      <c r="H35" s="412"/>
    </row>
    <row r="36" spans="1:8" ht="31.5" x14ac:dyDescent="0.25">
      <c r="A36" s="79" t="s">
        <v>89</v>
      </c>
      <c r="B36" s="48" t="s">
        <v>227</v>
      </c>
      <c r="C36" s="127" t="s">
        <v>411</v>
      </c>
      <c r="D36" s="127" t="str">
        <f>LUONGNGAY26[[#Headers],[KS1]]</f>
        <v>KS1</v>
      </c>
      <c r="E36" s="227">
        <f>'LUONGNGAY-TT26'!H40</f>
        <v>188969.25</v>
      </c>
      <c r="F36" s="127">
        <f>'LUONGNGAY-TT26'!I40</f>
        <v>1.9499999999999999E-3</v>
      </c>
      <c r="G36" s="228">
        <f>NHANCONG[[#This Row],[Lương
ngày]]*NHANCONG[[#This Row],[Định
mức]]</f>
        <v>368.49003749999997</v>
      </c>
      <c r="H36" s="412"/>
    </row>
    <row r="37" spans="1:8" ht="31.5" x14ac:dyDescent="0.25">
      <c r="A37" s="79" t="s">
        <v>89</v>
      </c>
      <c r="B37" s="48" t="s">
        <v>234</v>
      </c>
      <c r="C37" s="127" t="s">
        <v>412</v>
      </c>
      <c r="D37" s="127" t="str">
        <f>LUONGNGAY26[[#Headers],[KS1]]</f>
        <v>KS1</v>
      </c>
      <c r="E37" s="227">
        <f>'LUONGNGAY-TT26'!H41</f>
        <v>188969.25</v>
      </c>
      <c r="F37" s="127">
        <f>'LUONGNGAY-TT26'!I41</f>
        <v>1.8589999999999999E-2</v>
      </c>
      <c r="G37" s="228">
        <f>NHANCONG[[#This Row],[Lương
ngày]]*NHANCONG[[#This Row],[Định
mức]]</f>
        <v>3512.9383574999997</v>
      </c>
      <c r="H37" s="412"/>
    </row>
    <row r="38" spans="1:8" ht="31.5" x14ac:dyDescent="0.25">
      <c r="A38" s="79" t="s">
        <v>89</v>
      </c>
      <c r="B38" s="48" t="s">
        <v>227</v>
      </c>
      <c r="C38" s="127" t="s">
        <v>412</v>
      </c>
      <c r="D38" s="127" t="str">
        <f>LUONGNGAY26[[#Headers],[KS1]]</f>
        <v>KS1</v>
      </c>
      <c r="E38" s="227">
        <f>'LUONGNGAY-TT26'!H42</f>
        <v>188969.25</v>
      </c>
      <c r="F38" s="127">
        <f>'LUONGNGAY-TT26'!I42</f>
        <v>2.2100000000000002E-2</v>
      </c>
      <c r="G38" s="228">
        <f>NHANCONG[[#This Row],[Lương
ngày]]*NHANCONG[[#This Row],[Định
mức]]</f>
        <v>4176.2204250000004</v>
      </c>
      <c r="H38" s="412"/>
    </row>
    <row r="39" spans="1:8" ht="38.25" x14ac:dyDescent="0.25">
      <c r="A39" s="79" t="s">
        <v>117</v>
      </c>
      <c r="B39" s="48" t="s">
        <v>18</v>
      </c>
      <c r="C39" s="127"/>
      <c r="D39" s="127" t="str">
        <f>LUONGNGAY26[[#Headers],[KS1]]</f>
        <v>KS1</v>
      </c>
      <c r="E39" s="227"/>
      <c r="F39" s="127"/>
      <c r="G39" s="228"/>
      <c r="H39" s="265" t="s">
        <v>52</v>
      </c>
    </row>
    <row r="40" spans="1:8" ht="15.75" x14ac:dyDescent="0.25">
      <c r="A40" s="202" t="s">
        <v>228</v>
      </c>
      <c r="B40" s="278" t="s">
        <v>413</v>
      </c>
      <c r="C40" s="44"/>
      <c r="D40" s="127"/>
      <c r="E40" s="227"/>
      <c r="F40" s="127"/>
      <c r="G40" s="228"/>
      <c r="H40" s="412"/>
    </row>
    <row r="41" spans="1:8" ht="15.75" x14ac:dyDescent="0.25">
      <c r="A41" s="79" t="s">
        <v>89</v>
      </c>
      <c r="B41" s="48" t="s">
        <v>224</v>
      </c>
      <c r="C41" s="127" t="s">
        <v>411</v>
      </c>
      <c r="D41" s="127" t="str">
        <f>LUONGNGAY26[[#Headers],[KS1]]</f>
        <v>KS1</v>
      </c>
      <c r="E41" s="227">
        <f>'LUONGNGAY-TT26'!H17</f>
        <v>188969.25</v>
      </c>
      <c r="F41" s="127">
        <f>'LUONGNGAY-TT26'!I17</f>
        <v>2.48E-3</v>
      </c>
      <c r="G41" s="228">
        <f>NHANCONG[[#This Row],[Lương
ngày]]*NHANCONG[[#This Row],[Định
mức]]</f>
        <v>468.64373999999998</v>
      </c>
      <c r="H41" s="412"/>
    </row>
    <row r="42" spans="1:8" ht="15.75" x14ac:dyDescent="0.25">
      <c r="A42" s="79" t="s">
        <v>89</v>
      </c>
      <c r="B42" s="48" t="s">
        <v>225</v>
      </c>
      <c r="C42" s="127" t="s">
        <v>411</v>
      </c>
      <c r="D42" s="127" t="str">
        <f>LUONGNGAY26[[#Headers],[KS1]]</f>
        <v>KS1</v>
      </c>
      <c r="E42" s="227">
        <f>'LUONGNGAY-TT26'!H18</f>
        <v>188969.25</v>
      </c>
      <c r="F42" s="127">
        <f>'LUONGNGAY-TT26'!I18</f>
        <v>4.4000000000000003E-3</v>
      </c>
      <c r="G42" s="228">
        <f>NHANCONG[[#This Row],[Lương
ngày]]*NHANCONG[[#This Row],[Định
mức]]</f>
        <v>831.46469999999999</v>
      </c>
      <c r="H42" s="412"/>
    </row>
    <row r="43" spans="1:8" ht="15.75" x14ac:dyDescent="0.25">
      <c r="A43" s="79" t="s">
        <v>89</v>
      </c>
      <c r="B43" s="48" t="s">
        <v>232</v>
      </c>
      <c r="C43" s="127" t="s">
        <v>412</v>
      </c>
      <c r="D43" s="127" t="str">
        <f>LUONGNGAY26[[#Headers],[KS1]]</f>
        <v>KS1</v>
      </c>
      <c r="E43" s="227">
        <f>'LUONGNGAY-TT26'!H19</f>
        <v>188969.25</v>
      </c>
      <c r="F43" s="127">
        <f>'LUONGNGAY-TT26'!I19</f>
        <v>4.5359999999999998E-2</v>
      </c>
      <c r="G43" s="228">
        <f>NHANCONG[[#This Row],[Lương
ngày]]*NHANCONG[[#This Row],[Định
mức]]</f>
        <v>8571.6451799999995</v>
      </c>
      <c r="H43" s="412"/>
    </row>
    <row r="44" spans="1:8" ht="15.75" x14ac:dyDescent="0.25">
      <c r="A44" s="79" t="s">
        <v>89</v>
      </c>
      <c r="B44" s="48" t="s">
        <v>233</v>
      </c>
      <c r="C44" s="127" t="s">
        <v>412</v>
      </c>
      <c r="D44" s="127" t="str">
        <f>LUONGNGAY26[[#Headers],[KS1]]</f>
        <v>KS1</v>
      </c>
      <c r="E44" s="227">
        <f>'LUONGNGAY-TT26'!H20</f>
        <v>188969.25</v>
      </c>
      <c r="F44" s="127">
        <f>'LUONGNGAY-TT26'!I20</f>
        <v>5.3600000000000002E-2</v>
      </c>
      <c r="G44" s="228">
        <f>NHANCONG[[#This Row],[Lương
ngày]]*NHANCONG[[#This Row],[Định
mức]]</f>
        <v>10128.7518</v>
      </c>
      <c r="H44" s="412"/>
    </row>
    <row r="45" spans="1:8" ht="31.5" x14ac:dyDescent="0.25">
      <c r="A45" s="79" t="s">
        <v>89</v>
      </c>
      <c r="B45" s="48" t="s">
        <v>226</v>
      </c>
      <c r="C45" s="127" t="s">
        <v>411</v>
      </c>
      <c r="D45" s="127" t="str">
        <f>LUONGNGAY26[[#Headers],[KS1]]</f>
        <v>KS1</v>
      </c>
      <c r="E45" s="227">
        <f>'LUONGNGAY-TT26'!H21</f>
        <v>188969.25</v>
      </c>
      <c r="F45" s="127">
        <f>'LUONGNGAY-TT26'!I21</f>
        <v>7.2000000000000005E-4</v>
      </c>
      <c r="G45" s="228">
        <f>NHANCONG[[#This Row],[Lương
ngày]]*NHANCONG[[#This Row],[Định
mức]]</f>
        <v>136.05786000000001</v>
      </c>
      <c r="H45" s="412"/>
    </row>
    <row r="46" spans="1:8" ht="31.5" x14ac:dyDescent="0.25">
      <c r="A46" s="79" t="s">
        <v>89</v>
      </c>
      <c r="B46" s="48" t="s">
        <v>227</v>
      </c>
      <c r="C46" s="127" t="s">
        <v>411</v>
      </c>
      <c r="D46" s="127" t="str">
        <f>LUONGNGAY26[[#Headers],[KS1]]</f>
        <v>KS1</v>
      </c>
      <c r="E46" s="227">
        <f>'LUONGNGAY-TT26'!H22</f>
        <v>188969.25</v>
      </c>
      <c r="F46" s="127">
        <f>'LUONGNGAY-TT26'!I22</f>
        <v>1.1999999999999999E-3</v>
      </c>
      <c r="G46" s="228">
        <f>NHANCONG[[#This Row],[Lương
ngày]]*NHANCONG[[#This Row],[Định
mức]]</f>
        <v>226.76309999999998</v>
      </c>
      <c r="H46" s="412"/>
    </row>
    <row r="47" spans="1:8" ht="31.5" x14ac:dyDescent="0.25">
      <c r="A47" s="79" t="s">
        <v>89</v>
      </c>
      <c r="B47" s="48" t="s">
        <v>234</v>
      </c>
      <c r="C47" s="127" t="s">
        <v>412</v>
      </c>
      <c r="D47" s="127" t="str">
        <f>LUONGNGAY26[[#Headers],[KS1]]</f>
        <v>KS1</v>
      </c>
      <c r="E47" s="227">
        <f>'LUONGNGAY-TT26'!H23</f>
        <v>188969.25</v>
      </c>
      <c r="F47" s="127">
        <f>'LUONGNGAY-TT26'!I23</f>
        <v>1.1440000000000001E-2</v>
      </c>
      <c r="G47" s="228">
        <f>NHANCONG[[#This Row],[Lương
ngày]]*NHANCONG[[#This Row],[Định
mức]]</f>
        <v>2161.8082199999999</v>
      </c>
      <c r="H47" s="412"/>
    </row>
    <row r="48" spans="1:8" ht="31.5" x14ac:dyDescent="0.25">
      <c r="A48" s="79" t="s">
        <v>89</v>
      </c>
      <c r="B48" s="48" t="s">
        <v>227</v>
      </c>
      <c r="C48" s="127" t="s">
        <v>412</v>
      </c>
      <c r="D48" s="127" t="str">
        <f>LUONGNGAY26[[#Headers],[KS1]]</f>
        <v>KS1</v>
      </c>
      <c r="E48" s="227">
        <f>'LUONGNGAY-TT26'!H24</f>
        <v>188969.25</v>
      </c>
      <c r="F48" s="127">
        <f>'LUONGNGAY-TT26'!I24</f>
        <v>1.3599999999999999E-2</v>
      </c>
      <c r="G48" s="228">
        <f>NHANCONG[[#This Row],[Lương
ngày]]*NHANCONG[[#This Row],[Định
mức]]</f>
        <v>2569.9818</v>
      </c>
      <c r="H48" s="412"/>
    </row>
    <row r="49" spans="1:8" ht="15.75" x14ac:dyDescent="0.25">
      <c r="A49" s="202" t="s">
        <v>229</v>
      </c>
      <c r="B49" s="278" t="s">
        <v>414</v>
      </c>
      <c r="C49" s="44"/>
      <c r="D49" s="127"/>
      <c r="E49" s="227"/>
      <c r="F49" s="127"/>
      <c r="G49" s="228"/>
      <c r="H49" s="412"/>
    </row>
    <row r="50" spans="1:8" ht="15.75" x14ac:dyDescent="0.25">
      <c r="A50" s="79" t="s">
        <v>89</v>
      </c>
      <c r="B50" s="48" t="s">
        <v>224</v>
      </c>
      <c r="C50" s="127" t="s">
        <v>411</v>
      </c>
      <c r="D50" s="127" t="str">
        <f>LUONGNGAY26[[#Headers],[KS1]]</f>
        <v>KS1</v>
      </c>
      <c r="E50" s="227">
        <f>'LUONGNGAY-TT26'!H26</f>
        <v>188969.25</v>
      </c>
      <c r="F50" s="127">
        <f>'LUONGNGAY-TT26'!I26</f>
        <v>3.0999999999999999E-3</v>
      </c>
      <c r="G50" s="228">
        <f>NHANCONG[[#This Row],[Lương
ngày]]*NHANCONG[[#This Row],[Định
mức]]</f>
        <v>585.80467499999997</v>
      </c>
      <c r="H50" s="412"/>
    </row>
    <row r="51" spans="1:8" ht="15.75" x14ac:dyDescent="0.25">
      <c r="A51" s="79" t="s">
        <v>89</v>
      </c>
      <c r="B51" s="48" t="s">
        <v>225</v>
      </c>
      <c r="C51" s="127" t="s">
        <v>411</v>
      </c>
      <c r="D51" s="127" t="str">
        <f>LUONGNGAY26[[#Headers],[KS1]]</f>
        <v>KS1</v>
      </c>
      <c r="E51" s="227">
        <f>'LUONGNGAY-TT26'!H27</f>
        <v>188969.25</v>
      </c>
      <c r="F51" s="127">
        <f>'LUONGNGAY-TT26'!I27</f>
        <v>5.4999999999999997E-3</v>
      </c>
      <c r="G51" s="228">
        <f>NHANCONG[[#This Row],[Lương
ngày]]*NHANCONG[[#This Row],[Định
mức]]</f>
        <v>1039.3308749999999</v>
      </c>
      <c r="H51" s="412"/>
    </row>
    <row r="52" spans="1:8" ht="15.75" x14ac:dyDescent="0.25">
      <c r="A52" s="79" t="s">
        <v>89</v>
      </c>
      <c r="B52" s="48" t="s">
        <v>232</v>
      </c>
      <c r="C52" s="127" t="s">
        <v>412</v>
      </c>
      <c r="D52" s="127" t="str">
        <f>LUONGNGAY26[[#Headers],[KS1]]</f>
        <v>KS1</v>
      </c>
      <c r="E52" s="227">
        <f>'LUONGNGAY-TT26'!H28</f>
        <v>188969.25</v>
      </c>
      <c r="F52" s="127">
        <f>'LUONGNGAY-TT26'!I28</f>
        <v>5.67E-2</v>
      </c>
      <c r="G52" s="228">
        <f>NHANCONG[[#This Row],[Lương
ngày]]*NHANCONG[[#This Row],[Định
mức]]</f>
        <v>10714.556474999999</v>
      </c>
      <c r="H52" s="412"/>
    </row>
    <row r="53" spans="1:8" ht="15.75" x14ac:dyDescent="0.25">
      <c r="A53" s="79" t="s">
        <v>89</v>
      </c>
      <c r="B53" s="48" t="s">
        <v>233</v>
      </c>
      <c r="C53" s="127" t="s">
        <v>412</v>
      </c>
      <c r="D53" s="127" t="str">
        <f>LUONGNGAY26[[#Headers],[KS1]]</f>
        <v>KS1</v>
      </c>
      <c r="E53" s="227">
        <f>'LUONGNGAY-TT26'!H29</f>
        <v>188969.25</v>
      </c>
      <c r="F53" s="127">
        <f>'LUONGNGAY-TT26'!I29</f>
        <v>6.7000000000000004E-2</v>
      </c>
      <c r="G53" s="228">
        <f>NHANCONG[[#This Row],[Lương
ngày]]*NHANCONG[[#This Row],[Định
mức]]</f>
        <v>12660.939750000001</v>
      </c>
      <c r="H53" s="412"/>
    </row>
    <row r="54" spans="1:8" ht="31.5" x14ac:dyDescent="0.25">
      <c r="A54" s="79" t="s">
        <v>89</v>
      </c>
      <c r="B54" s="48" t="s">
        <v>226</v>
      </c>
      <c r="C54" s="127" t="s">
        <v>411</v>
      </c>
      <c r="D54" s="127" t="str">
        <f>LUONGNGAY26[[#Headers],[KS1]]</f>
        <v>KS1</v>
      </c>
      <c r="E54" s="227">
        <f>'LUONGNGAY-TT26'!H30</f>
        <v>188969.25</v>
      </c>
      <c r="F54" s="127">
        <f>'LUONGNGAY-TT26'!I30</f>
        <v>8.9999999999999998E-4</v>
      </c>
      <c r="G54" s="228">
        <f>NHANCONG[[#This Row],[Lương
ngày]]*NHANCONG[[#This Row],[Định
mức]]</f>
        <v>170.07232500000001</v>
      </c>
      <c r="H54" s="412"/>
    </row>
    <row r="55" spans="1:8" ht="31.5" x14ac:dyDescent="0.25">
      <c r="A55" s="79" t="s">
        <v>89</v>
      </c>
      <c r="B55" s="48" t="s">
        <v>227</v>
      </c>
      <c r="C55" s="127" t="s">
        <v>411</v>
      </c>
      <c r="D55" s="127" t="str">
        <f>LUONGNGAY26[[#Headers],[KS1]]</f>
        <v>KS1</v>
      </c>
      <c r="E55" s="227">
        <f>'LUONGNGAY-TT26'!H31</f>
        <v>188969.25</v>
      </c>
      <c r="F55" s="127">
        <f>'LUONGNGAY-TT26'!I31</f>
        <v>1.5E-3</v>
      </c>
      <c r="G55" s="228">
        <f>NHANCONG[[#This Row],[Lương
ngày]]*NHANCONG[[#This Row],[Định
mức]]</f>
        <v>283.45387499999998</v>
      </c>
      <c r="H55" s="412"/>
    </row>
    <row r="56" spans="1:8" ht="31.5" x14ac:dyDescent="0.25">
      <c r="A56" s="79" t="s">
        <v>89</v>
      </c>
      <c r="B56" s="48" t="s">
        <v>234</v>
      </c>
      <c r="C56" s="127" t="s">
        <v>412</v>
      </c>
      <c r="D56" s="127" t="str">
        <f>LUONGNGAY26[[#Headers],[KS1]]</f>
        <v>KS1</v>
      </c>
      <c r="E56" s="227">
        <f>'LUONGNGAY-TT26'!H32</f>
        <v>188969.25</v>
      </c>
      <c r="F56" s="127">
        <f>'LUONGNGAY-TT26'!I32</f>
        <v>1.43E-2</v>
      </c>
      <c r="G56" s="228">
        <f>NHANCONG[[#This Row],[Lương
ngày]]*NHANCONG[[#This Row],[Định
mức]]</f>
        <v>2702.2602750000001</v>
      </c>
      <c r="H56" s="412"/>
    </row>
    <row r="57" spans="1:8" ht="31.5" x14ac:dyDescent="0.25">
      <c r="A57" s="79" t="s">
        <v>89</v>
      </c>
      <c r="B57" s="48" t="s">
        <v>227</v>
      </c>
      <c r="C57" s="127" t="s">
        <v>412</v>
      </c>
      <c r="D57" s="127" t="str">
        <f>LUONGNGAY26[[#Headers],[KS1]]</f>
        <v>KS1</v>
      </c>
      <c r="E57" s="227">
        <f>'LUONGNGAY-TT26'!H33</f>
        <v>188969.25</v>
      </c>
      <c r="F57" s="127">
        <f>'LUONGNGAY-TT26'!I33</f>
        <v>1.7000000000000001E-2</v>
      </c>
      <c r="G57" s="228">
        <f>NHANCONG[[#This Row],[Lương
ngày]]*NHANCONG[[#This Row],[Định
mức]]</f>
        <v>3212.4772500000004</v>
      </c>
      <c r="H57" s="412"/>
    </row>
    <row r="58" spans="1:8" ht="15.75" x14ac:dyDescent="0.25">
      <c r="A58" s="202" t="s">
        <v>230</v>
      </c>
      <c r="B58" s="278" t="s">
        <v>415</v>
      </c>
      <c r="C58" s="44"/>
      <c r="D58" s="127"/>
      <c r="E58" s="227"/>
      <c r="F58" s="127"/>
      <c r="G58" s="228"/>
      <c r="H58" s="412"/>
    </row>
    <row r="59" spans="1:8" ht="15.75" x14ac:dyDescent="0.25">
      <c r="A59" s="79" t="s">
        <v>89</v>
      </c>
      <c r="B59" s="48" t="s">
        <v>224</v>
      </c>
      <c r="C59" s="127" t="s">
        <v>411</v>
      </c>
      <c r="D59" s="127" t="str">
        <f>LUONGNGAY26[[#Headers],[KS1]]</f>
        <v>KS1</v>
      </c>
      <c r="E59" s="227">
        <f>'LUONGNGAY-TT26'!H35</f>
        <v>188969.25</v>
      </c>
      <c r="F59" s="127">
        <f>'LUONGNGAY-TT26'!I35</f>
        <v>4.0299999999999997E-3</v>
      </c>
      <c r="G59" s="228">
        <f>NHANCONG[[#This Row],[Lương
ngày]]*NHANCONG[[#This Row],[Định
mức]]</f>
        <v>761.54607749999991</v>
      </c>
      <c r="H59" s="412"/>
    </row>
    <row r="60" spans="1:8" ht="15.75" x14ac:dyDescent="0.25">
      <c r="A60" s="79" t="s">
        <v>89</v>
      </c>
      <c r="B60" s="48" t="s">
        <v>225</v>
      </c>
      <c r="C60" s="127" t="s">
        <v>411</v>
      </c>
      <c r="D60" s="127" t="str">
        <f>LUONGNGAY26[[#Headers],[KS1]]</f>
        <v>KS1</v>
      </c>
      <c r="E60" s="227">
        <f>'LUONGNGAY-TT26'!H36</f>
        <v>188969.25</v>
      </c>
      <c r="F60" s="127">
        <f>'LUONGNGAY-TT26'!I36</f>
        <v>7.1500000000000001E-3</v>
      </c>
      <c r="G60" s="228">
        <f>NHANCONG[[#This Row],[Lương
ngày]]*NHANCONG[[#This Row],[Định
mức]]</f>
        <v>1351.1301375</v>
      </c>
      <c r="H60" s="412"/>
    </row>
    <row r="61" spans="1:8" ht="15.75" x14ac:dyDescent="0.25">
      <c r="A61" s="79" t="s">
        <v>89</v>
      </c>
      <c r="B61" s="48" t="s">
        <v>232</v>
      </c>
      <c r="C61" s="127" t="s">
        <v>412</v>
      </c>
      <c r="D61" s="127" t="str">
        <f>LUONGNGAY26[[#Headers],[KS1]]</f>
        <v>KS1</v>
      </c>
      <c r="E61" s="227">
        <f>'LUONGNGAY-TT26'!H37</f>
        <v>188969.25</v>
      </c>
      <c r="F61" s="127">
        <f>'LUONGNGAY-TT26'!I37</f>
        <v>7.3709999999999998E-2</v>
      </c>
      <c r="G61" s="228">
        <f>NHANCONG[[#This Row],[Lương
ngày]]*NHANCONG[[#This Row],[Định
mức]]</f>
        <v>13928.9234175</v>
      </c>
      <c r="H61" s="412"/>
    </row>
    <row r="62" spans="1:8" ht="15.75" x14ac:dyDescent="0.25">
      <c r="A62" s="79" t="s">
        <v>89</v>
      </c>
      <c r="B62" s="48" t="s">
        <v>233</v>
      </c>
      <c r="C62" s="127" t="s">
        <v>412</v>
      </c>
      <c r="D62" s="127" t="str">
        <f>LUONGNGAY26[[#Headers],[KS1]]</f>
        <v>KS1</v>
      </c>
      <c r="E62" s="227">
        <f>'LUONGNGAY-TT26'!H38</f>
        <v>188969.25</v>
      </c>
      <c r="F62" s="127">
        <f>'LUONGNGAY-TT26'!I38</f>
        <v>8.7099999999999997E-2</v>
      </c>
      <c r="G62" s="228">
        <f>NHANCONG[[#This Row],[Lương
ngày]]*NHANCONG[[#This Row],[Định
mức]]</f>
        <v>16459.221675000001</v>
      </c>
      <c r="H62" s="412"/>
    </row>
    <row r="63" spans="1:8" ht="31.5" x14ac:dyDescent="0.25">
      <c r="A63" s="79" t="s">
        <v>89</v>
      </c>
      <c r="B63" s="48" t="s">
        <v>226</v>
      </c>
      <c r="C63" s="127" t="s">
        <v>411</v>
      </c>
      <c r="D63" s="127" t="str">
        <f>LUONGNGAY26[[#Headers],[KS1]]</f>
        <v>KS1</v>
      </c>
      <c r="E63" s="227">
        <f>'LUONGNGAY-TT26'!H39</f>
        <v>188969.25</v>
      </c>
      <c r="F63" s="127">
        <f>'LUONGNGAY-TT26'!I39</f>
        <v>1.17E-3</v>
      </c>
      <c r="G63" s="228">
        <f>NHANCONG[[#This Row],[Lương
ngày]]*NHANCONG[[#This Row],[Định
mức]]</f>
        <v>221.09402249999999</v>
      </c>
      <c r="H63" s="412"/>
    </row>
    <row r="64" spans="1:8" ht="31.5" x14ac:dyDescent="0.25">
      <c r="A64" s="79" t="s">
        <v>89</v>
      </c>
      <c r="B64" s="48" t="s">
        <v>227</v>
      </c>
      <c r="C64" s="127" t="s">
        <v>411</v>
      </c>
      <c r="D64" s="127" t="str">
        <f>LUONGNGAY26[[#Headers],[KS1]]</f>
        <v>KS1</v>
      </c>
      <c r="E64" s="227">
        <f>'LUONGNGAY-TT26'!H40</f>
        <v>188969.25</v>
      </c>
      <c r="F64" s="127">
        <f>'LUONGNGAY-TT26'!I40</f>
        <v>1.9499999999999999E-3</v>
      </c>
      <c r="G64" s="228">
        <f>NHANCONG[[#This Row],[Lương
ngày]]*NHANCONG[[#This Row],[Định
mức]]</f>
        <v>368.49003749999997</v>
      </c>
      <c r="H64" s="412"/>
    </row>
    <row r="65" spans="1:8" ht="31.5" x14ac:dyDescent="0.25">
      <c r="A65" s="79" t="s">
        <v>89</v>
      </c>
      <c r="B65" s="48" t="s">
        <v>234</v>
      </c>
      <c r="C65" s="127" t="s">
        <v>412</v>
      </c>
      <c r="D65" s="127" t="str">
        <f>LUONGNGAY26[[#Headers],[KS1]]</f>
        <v>KS1</v>
      </c>
      <c r="E65" s="227">
        <f>'LUONGNGAY-TT26'!H41</f>
        <v>188969.25</v>
      </c>
      <c r="F65" s="127">
        <f>'LUONGNGAY-TT26'!I41</f>
        <v>1.8589999999999999E-2</v>
      </c>
      <c r="G65" s="228">
        <f>NHANCONG[[#This Row],[Lương
ngày]]*NHANCONG[[#This Row],[Định
mức]]</f>
        <v>3512.9383574999997</v>
      </c>
      <c r="H65" s="412"/>
    </row>
    <row r="66" spans="1:8" ht="31.5" x14ac:dyDescent="0.25">
      <c r="A66" s="79" t="s">
        <v>89</v>
      </c>
      <c r="B66" s="48" t="s">
        <v>227</v>
      </c>
      <c r="C66" s="127" t="s">
        <v>412</v>
      </c>
      <c r="D66" s="127" t="str">
        <f>LUONGNGAY26[[#Headers],[KS1]]</f>
        <v>KS1</v>
      </c>
      <c r="E66" s="227">
        <f>'LUONGNGAY-TT26'!H42</f>
        <v>188969.25</v>
      </c>
      <c r="F66" s="127">
        <f>'LUONGNGAY-TT26'!I42</f>
        <v>2.2100000000000002E-2</v>
      </c>
      <c r="G66" s="228">
        <f>NHANCONG[[#This Row],[Lương
ngày]]*NHANCONG[[#This Row],[Định
mức]]</f>
        <v>4176.2204250000004</v>
      </c>
      <c r="H66" s="412"/>
    </row>
    <row r="67" spans="1:8" ht="31.5" x14ac:dyDescent="0.25">
      <c r="A67" s="79" t="s">
        <v>118</v>
      </c>
      <c r="B67" s="48" t="s">
        <v>19</v>
      </c>
      <c r="C67" s="127"/>
      <c r="D67" s="127"/>
      <c r="E67" s="227"/>
      <c r="F67" s="127"/>
      <c r="G67" s="228">
        <v>0</v>
      </c>
      <c r="H67" s="259" t="s">
        <v>54</v>
      </c>
    </row>
    <row r="68" spans="1:8" ht="15.75" x14ac:dyDescent="0.25">
      <c r="A68" s="78" t="s">
        <v>119</v>
      </c>
      <c r="B68" s="143" t="s">
        <v>20</v>
      </c>
      <c r="C68" s="127"/>
      <c r="D68" s="127"/>
      <c r="E68" s="227"/>
      <c r="F68" s="127"/>
      <c r="G68" s="228"/>
      <c r="H68" s="259" t="s">
        <v>423</v>
      </c>
    </row>
    <row r="69" spans="1:8" ht="15.75" x14ac:dyDescent="0.25">
      <c r="A69" s="78"/>
      <c r="B69" s="203" t="s">
        <v>492</v>
      </c>
      <c r="C69" s="127"/>
      <c r="D69" s="127"/>
      <c r="E69" s="227"/>
      <c r="F69" s="127"/>
      <c r="G69" s="326">
        <f>SUM(G70:G73)</f>
        <v>459670.06</v>
      </c>
      <c r="H69" s="233" t="s">
        <v>495</v>
      </c>
    </row>
    <row r="70" spans="1:8" ht="15.75" x14ac:dyDescent="0.25">
      <c r="A70" s="79" t="s">
        <v>120</v>
      </c>
      <c r="B70" s="48" t="s">
        <v>21</v>
      </c>
      <c r="C70" s="127"/>
      <c r="D70" s="127"/>
      <c r="E70" s="227"/>
      <c r="F70" s="127"/>
      <c r="G70" s="228">
        <v>0</v>
      </c>
      <c r="H70" s="259" t="s">
        <v>54</v>
      </c>
    </row>
    <row r="71" spans="1:8" ht="15.75" x14ac:dyDescent="0.25">
      <c r="A71" s="79" t="s">
        <v>121</v>
      </c>
      <c r="B71" s="48" t="s">
        <v>22</v>
      </c>
      <c r="C71" s="127" t="s">
        <v>594</v>
      </c>
      <c r="D71" s="127" t="str">
        <f>VLOOKUP(A71,LUONGNGAY!$A$12:$K$90,11,0)</f>
        <v>KTV6 + KS3</v>
      </c>
      <c r="E71" s="227">
        <f>VLOOKUP(A71,LUONGNGAY!$A$11:$O$90,15,0)</f>
        <v>414742</v>
      </c>
      <c r="F71" s="127">
        <v>1</v>
      </c>
      <c r="G71" s="228">
        <f t="shared" ref="G71:G73" si="0">E71*F71</f>
        <v>414742</v>
      </c>
      <c r="H71" s="259"/>
    </row>
    <row r="72" spans="1:8" ht="15.75" x14ac:dyDescent="0.25">
      <c r="A72" s="79" t="s">
        <v>122</v>
      </c>
      <c r="B72" s="48" t="s">
        <v>23</v>
      </c>
      <c r="C72" s="127" t="s">
        <v>591</v>
      </c>
      <c r="D72" s="127" t="str">
        <f>VLOOKUP(A72,LUONGNGAY!$A$12:$K$90,11,0)</f>
        <v>KS3</v>
      </c>
      <c r="E72" s="227">
        <f>VLOOKUP(A72,LUONGNGAY!$A$11:$O$90,15,0)</f>
        <v>212325</v>
      </c>
      <c r="F72" s="127">
        <v>0.1</v>
      </c>
      <c r="G72" s="228">
        <f t="shared" si="0"/>
        <v>21232.5</v>
      </c>
      <c r="H72" s="259"/>
    </row>
    <row r="73" spans="1:8" ht="15.75" x14ac:dyDescent="0.25">
      <c r="A73" s="79" t="s">
        <v>123</v>
      </c>
      <c r="B73" s="48" t="s">
        <v>24</v>
      </c>
      <c r="C73" s="127" t="s">
        <v>594</v>
      </c>
      <c r="D73" s="127" t="str">
        <f>VLOOKUP(A73,LUONGNGAY!$A$12:$K$90,11,0)</f>
        <v>KTV1</v>
      </c>
      <c r="E73" s="227">
        <f>VLOOKUP(A73,LUONGNGAY!$A$11:$O$90,15,0)</f>
        <v>131642</v>
      </c>
      <c r="F73" s="127">
        <v>0.18</v>
      </c>
      <c r="G73" s="228">
        <f t="shared" si="0"/>
        <v>23695.559999999998</v>
      </c>
      <c r="H73" s="259"/>
    </row>
    <row r="74" spans="1:8" ht="15.75" x14ac:dyDescent="0.25">
      <c r="A74" s="78"/>
      <c r="B74" s="203" t="s">
        <v>493</v>
      </c>
      <c r="C74" s="127"/>
      <c r="D74" s="127"/>
      <c r="E74" s="227"/>
      <c r="F74" s="127"/>
      <c r="G74" s="326">
        <f>SUM(G75:G78)</f>
        <v>275802.03599999996</v>
      </c>
      <c r="H74" s="233" t="s">
        <v>496</v>
      </c>
    </row>
    <row r="75" spans="1:8" ht="15.75" x14ac:dyDescent="0.25">
      <c r="A75" s="79" t="s">
        <v>120</v>
      </c>
      <c r="B75" s="48" t="s">
        <v>21</v>
      </c>
      <c r="C75" s="127"/>
      <c r="D75" s="127"/>
      <c r="E75" s="227"/>
      <c r="F75" s="127"/>
      <c r="G75" s="228">
        <f>G70*0.6</f>
        <v>0</v>
      </c>
      <c r="H75" s="259" t="s">
        <v>54</v>
      </c>
    </row>
    <row r="76" spans="1:8" ht="15.75" x14ac:dyDescent="0.25">
      <c r="A76" s="79" t="s">
        <v>121</v>
      </c>
      <c r="B76" s="48" t="s">
        <v>22</v>
      </c>
      <c r="C76" s="127" t="s">
        <v>594</v>
      </c>
      <c r="D76" s="127" t="str">
        <f>VLOOKUP(A76,LUONGNGAY!$A$12:$K$90,11,0)</f>
        <v>KTV6 + KS3</v>
      </c>
      <c r="E76" s="227"/>
      <c r="F76" s="127"/>
      <c r="G76" s="228">
        <f t="shared" ref="G76:G78" si="1">G71*0.6</f>
        <v>248845.19999999998</v>
      </c>
      <c r="H76" s="259"/>
    </row>
    <row r="77" spans="1:8" ht="15.75" x14ac:dyDescent="0.25">
      <c r="A77" s="79" t="s">
        <v>122</v>
      </c>
      <c r="B77" s="48" t="s">
        <v>23</v>
      </c>
      <c r="C77" s="127" t="s">
        <v>591</v>
      </c>
      <c r="D77" s="127" t="str">
        <f>VLOOKUP(A77,LUONGNGAY!$A$12:$K$90,11,0)</f>
        <v>KS3</v>
      </c>
      <c r="E77" s="227"/>
      <c r="F77" s="127"/>
      <c r="G77" s="228">
        <f t="shared" si="1"/>
        <v>12739.5</v>
      </c>
      <c r="H77" s="259"/>
    </row>
    <row r="78" spans="1:8" ht="15.75" x14ac:dyDescent="0.25">
      <c r="A78" s="79" t="s">
        <v>123</v>
      </c>
      <c r="B78" s="48" t="s">
        <v>24</v>
      </c>
      <c r="C78" s="127" t="s">
        <v>594</v>
      </c>
      <c r="D78" s="127" t="str">
        <f>VLOOKUP(A78,LUONGNGAY!$A$12:$K$90,11,0)</f>
        <v>KTV1</v>
      </c>
      <c r="E78" s="227"/>
      <c r="F78" s="127"/>
      <c r="G78" s="228">
        <f t="shared" si="1"/>
        <v>14217.335999999998</v>
      </c>
      <c r="H78" s="259"/>
    </row>
    <row r="79" spans="1:8" ht="15.75" x14ac:dyDescent="0.25">
      <c r="A79" s="78"/>
      <c r="B79" s="203" t="s">
        <v>494</v>
      </c>
      <c r="C79" s="127"/>
      <c r="D79" s="127"/>
      <c r="E79" s="227"/>
      <c r="F79" s="127"/>
      <c r="G79" s="326">
        <f>SUM(G80:G83)</f>
        <v>91934.012000000002</v>
      </c>
      <c r="H79" s="233" t="s">
        <v>497</v>
      </c>
    </row>
    <row r="80" spans="1:8" ht="15.75" x14ac:dyDescent="0.25">
      <c r="A80" s="79" t="s">
        <v>120</v>
      </c>
      <c r="B80" s="48" t="s">
        <v>21</v>
      </c>
      <c r="C80" s="127"/>
      <c r="D80" s="127"/>
      <c r="E80" s="227"/>
      <c r="F80" s="127"/>
      <c r="G80" s="228">
        <f>G70*0.2</f>
        <v>0</v>
      </c>
      <c r="H80" s="259" t="s">
        <v>54</v>
      </c>
    </row>
    <row r="81" spans="1:8" ht="15.75" x14ac:dyDescent="0.25">
      <c r="A81" s="79" t="s">
        <v>121</v>
      </c>
      <c r="B81" s="48" t="s">
        <v>22</v>
      </c>
      <c r="C81" s="127" t="s">
        <v>594</v>
      </c>
      <c r="D81" s="127" t="str">
        <f>VLOOKUP(A81,LUONGNGAY!$A$12:$K$90,11,0)</f>
        <v>KTV6 + KS3</v>
      </c>
      <c r="E81" s="227"/>
      <c r="F81" s="127"/>
      <c r="G81" s="228">
        <f t="shared" ref="G81:G83" si="2">G71*0.2</f>
        <v>82948.400000000009</v>
      </c>
      <c r="H81" s="259"/>
    </row>
    <row r="82" spans="1:8" ht="15.75" x14ac:dyDescent="0.25">
      <c r="A82" s="79" t="s">
        <v>122</v>
      </c>
      <c r="B82" s="48" t="s">
        <v>23</v>
      </c>
      <c r="C82" s="127" t="s">
        <v>591</v>
      </c>
      <c r="D82" s="127" t="str">
        <f>VLOOKUP(A82,LUONGNGAY!$A$12:$K$90,11,0)</f>
        <v>KS3</v>
      </c>
      <c r="E82" s="227"/>
      <c r="F82" s="127"/>
      <c r="G82" s="228">
        <f t="shared" si="2"/>
        <v>4246.5</v>
      </c>
      <c r="H82" s="259"/>
    </row>
    <row r="83" spans="1:8" ht="15.75" x14ac:dyDescent="0.25">
      <c r="A83" s="79" t="s">
        <v>123</v>
      </c>
      <c r="B83" s="48" t="s">
        <v>24</v>
      </c>
      <c r="C83" s="127" t="s">
        <v>594</v>
      </c>
      <c r="D83" s="127" t="str">
        <f>VLOOKUP(A83,LUONGNGAY!$A$12:$K$90,11,0)</f>
        <v>KTV1</v>
      </c>
      <c r="E83" s="227"/>
      <c r="F83" s="127"/>
      <c r="G83" s="228">
        <f t="shared" si="2"/>
        <v>4739.1120000000001</v>
      </c>
      <c r="H83" s="259"/>
    </row>
    <row r="84" spans="1:8" ht="31.5" x14ac:dyDescent="0.25">
      <c r="A84" s="78" t="s">
        <v>26</v>
      </c>
      <c r="B84" s="143" t="s">
        <v>27</v>
      </c>
      <c r="C84" s="127"/>
      <c r="D84" s="127"/>
      <c r="E84" s="227"/>
      <c r="F84" s="127"/>
      <c r="G84" s="228"/>
      <c r="H84" s="259"/>
    </row>
    <row r="85" spans="1:8" ht="15.75" x14ac:dyDescent="0.25">
      <c r="A85" s="78" t="s">
        <v>124</v>
      </c>
      <c r="B85" s="143" t="s">
        <v>28</v>
      </c>
      <c r="C85" s="127"/>
      <c r="D85" s="127"/>
      <c r="E85" s="227"/>
      <c r="F85" s="127"/>
      <c r="G85" s="228"/>
      <c r="H85" s="259" t="s">
        <v>424</v>
      </c>
    </row>
    <row r="86" spans="1:8" ht="15.75" x14ac:dyDescent="0.25">
      <c r="A86" s="78"/>
      <c r="B86" s="278" t="s">
        <v>498</v>
      </c>
      <c r="C86" s="127"/>
      <c r="D86" s="127"/>
      <c r="E86" s="227"/>
      <c r="F86" s="127"/>
      <c r="G86" s="326">
        <f>SUM(G87:G99)</f>
        <v>5742198.4799999995</v>
      </c>
      <c r="H86" s="259"/>
    </row>
    <row r="87" spans="1:8" ht="31.5" x14ac:dyDescent="0.25">
      <c r="A87" s="79" t="s">
        <v>125</v>
      </c>
      <c r="B87" s="48" t="s">
        <v>29</v>
      </c>
      <c r="C87" s="127" t="s">
        <v>594</v>
      </c>
      <c r="D87" s="127" t="str">
        <f>VLOOKUP(A87,LUONGNGAY!$A$12:$K$90,11,0)</f>
        <v>KS7</v>
      </c>
      <c r="E87" s="227">
        <f>VLOOKUP(A87,LUONGNGAY!$A$11:$O$90,15,0)</f>
        <v>305748</v>
      </c>
      <c r="F87" s="127">
        <v>0.25</v>
      </c>
      <c r="G87" s="228">
        <f t="shared" ref="G87:G99" si="3">E87*F87</f>
        <v>76437</v>
      </c>
      <c r="H87" s="259"/>
    </row>
    <row r="88" spans="1:8" ht="31.5" x14ac:dyDescent="0.25">
      <c r="A88" s="79" t="s">
        <v>126</v>
      </c>
      <c r="B88" s="48" t="s">
        <v>30</v>
      </c>
      <c r="C88" s="127" t="s">
        <v>594</v>
      </c>
      <c r="D88" s="127" t="str">
        <f>VLOOKUP(A88,LUONGNGAY!$A$12:$K$90,11,0)</f>
        <v>KTV1</v>
      </c>
      <c r="E88" s="227">
        <f>VLOOKUP(A88,LUONGNGAY!$A$11:$O$90,15,0)</f>
        <v>131642</v>
      </c>
      <c r="F88" s="127">
        <v>0.18</v>
      </c>
      <c r="G88" s="228">
        <f t="shared" si="3"/>
        <v>23695.559999999998</v>
      </c>
      <c r="H88" s="259"/>
    </row>
    <row r="89" spans="1:8" ht="15.75" x14ac:dyDescent="0.25">
      <c r="A89" s="79" t="s">
        <v>127</v>
      </c>
      <c r="B89" s="48" t="s">
        <v>31</v>
      </c>
      <c r="C89" s="127" t="s">
        <v>594</v>
      </c>
      <c r="D89" s="127" t="str">
        <f>VLOOKUP(A89,LUONGNGAY!$A$12:$K$90,11,0)</f>
        <v>KTV1+KS4</v>
      </c>
      <c r="E89" s="227">
        <f>VLOOKUP(A89,LUONGNGAY!$A$11:$O$90,15,0)</f>
        <v>367322</v>
      </c>
      <c r="F89" s="127">
        <v>0.61</v>
      </c>
      <c r="G89" s="228">
        <f t="shared" si="3"/>
        <v>224066.41999999998</v>
      </c>
      <c r="H89" s="259"/>
    </row>
    <row r="90" spans="1:8" ht="15.75" x14ac:dyDescent="0.25">
      <c r="A90" s="79" t="s">
        <v>128</v>
      </c>
      <c r="B90" s="48" t="s">
        <v>32</v>
      </c>
      <c r="C90" s="127" t="s">
        <v>594</v>
      </c>
      <c r="D90" s="127" t="str">
        <f>VLOOKUP(A90,LUONGNGAY!$A$12:$K$90,11,0)</f>
        <v>KTV1+KS4</v>
      </c>
      <c r="E90" s="227">
        <f>VLOOKUP(A90,LUONGNGAY!$A$11:$O$90,15,0)</f>
        <v>367322</v>
      </c>
      <c r="F90" s="127">
        <v>3.12</v>
      </c>
      <c r="G90" s="228">
        <f t="shared" si="3"/>
        <v>1146044.6400000001</v>
      </c>
      <c r="H90" s="259"/>
    </row>
    <row r="91" spans="1:8" ht="15.75" x14ac:dyDescent="0.25">
      <c r="A91" s="79" t="s">
        <v>129</v>
      </c>
      <c r="B91" s="48" t="s">
        <v>33</v>
      </c>
      <c r="C91" s="127" t="s">
        <v>594</v>
      </c>
      <c r="D91" s="127" t="str">
        <f>VLOOKUP(A91,LUONGNGAY!$A$12:$K$90,11,0)</f>
        <v>KTV1+KS4</v>
      </c>
      <c r="E91" s="227">
        <f>VLOOKUP(A91,LUONGNGAY!$A$11:$O$90,15,0)</f>
        <v>367322</v>
      </c>
      <c r="F91" s="127">
        <v>2.48</v>
      </c>
      <c r="G91" s="228">
        <f t="shared" si="3"/>
        <v>910958.55999999994</v>
      </c>
      <c r="H91" s="259"/>
    </row>
    <row r="92" spans="1:8" ht="15.75" x14ac:dyDescent="0.25">
      <c r="A92" s="79" t="s">
        <v>130</v>
      </c>
      <c r="B92" s="48" t="s">
        <v>34</v>
      </c>
      <c r="C92" s="127" t="s">
        <v>594</v>
      </c>
      <c r="D92" s="127" t="str">
        <f>VLOOKUP(A92,LUONGNGAY!$A$12:$K$90,11,0)</f>
        <v>KTV1+KS4</v>
      </c>
      <c r="E92" s="227">
        <f>VLOOKUP(A92,LUONGNGAY!$A$11:$O$90,15,0)</f>
        <v>367322</v>
      </c>
      <c r="F92" s="127">
        <v>1.66</v>
      </c>
      <c r="G92" s="228">
        <f t="shared" si="3"/>
        <v>609754.52</v>
      </c>
      <c r="H92" s="259"/>
    </row>
    <row r="93" spans="1:8" ht="31.5" x14ac:dyDescent="0.25">
      <c r="A93" s="79" t="s">
        <v>131</v>
      </c>
      <c r="B93" s="48" t="s">
        <v>35</v>
      </c>
      <c r="C93" s="127" t="s">
        <v>594</v>
      </c>
      <c r="D93" s="127" t="str">
        <f>VLOOKUP(A93,LUONGNGAY!$A$12:$K$90,11,0)</f>
        <v>KTV1+KS4</v>
      </c>
      <c r="E93" s="227">
        <f>VLOOKUP(A93,LUONGNGAY!$A$11:$O$90,15,0)</f>
        <v>367322</v>
      </c>
      <c r="F93" s="127">
        <v>0.4</v>
      </c>
      <c r="G93" s="228">
        <f t="shared" si="3"/>
        <v>146928.80000000002</v>
      </c>
      <c r="H93" s="259"/>
    </row>
    <row r="94" spans="1:8" ht="15.75" x14ac:dyDescent="0.25">
      <c r="A94" s="79" t="s">
        <v>132</v>
      </c>
      <c r="B94" s="48" t="s">
        <v>36</v>
      </c>
      <c r="C94" s="127" t="s">
        <v>594</v>
      </c>
      <c r="D94" s="127" t="str">
        <f>VLOOKUP(A94,LUONGNGAY!$A$12:$K$90,11,0)</f>
        <v>KTV1+KS4</v>
      </c>
      <c r="E94" s="227">
        <f>VLOOKUP(A94,LUONGNGAY!$A$11:$O$90,15,0)</f>
        <v>367322</v>
      </c>
      <c r="F94" s="127">
        <v>4.5</v>
      </c>
      <c r="G94" s="228">
        <f t="shared" si="3"/>
        <v>1652949</v>
      </c>
      <c r="H94" s="259"/>
    </row>
    <row r="95" spans="1:8" ht="15.75" x14ac:dyDescent="0.25">
      <c r="A95" s="79" t="s">
        <v>133</v>
      </c>
      <c r="B95" s="48" t="s">
        <v>37</v>
      </c>
      <c r="C95" s="127" t="s">
        <v>594</v>
      </c>
      <c r="D95" s="127" t="str">
        <f>VLOOKUP(A95,LUONGNGAY!$A$12:$K$90,11,0)</f>
        <v>KTV1+KS4</v>
      </c>
      <c r="E95" s="227">
        <f>VLOOKUP(A95,LUONGNGAY!$A$11:$O$90,15,0)</f>
        <v>367322</v>
      </c>
      <c r="F95" s="127">
        <v>0.95</v>
      </c>
      <c r="G95" s="228">
        <f t="shared" si="3"/>
        <v>348955.89999999997</v>
      </c>
      <c r="H95" s="259"/>
    </row>
    <row r="96" spans="1:8" ht="31.5" x14ac:dyDescent="0.25">
      <c r="A96" s="79" t="s">
        <v>134</v>
      </c>
      <c r="B96" s="48" t="s">
        <v>38</v>
      </c>
      <c r="C96" s="127" t="s">
        <v>594</v>
      </c>
      <c r="D96" s="127" t="str">
        <f>VLOOKUP(A96,LUONGNGAY!$A$12:$K$90,11,0)</f>
        <v>KTV1+KS4</v>
      </c>
      <c r="E96" s="227">
        <f>VLOOKUP(A96,LUONGNGAY!$A$11:$O$90,15,0)</f>
        <v>367322</v>
      </c>
      <c r="F96" s="127">
        <v>0.23</v>
      </c>
      <c r="G96" s="228">
        <f t="shared" si="3"/>
        <v>84484.06</v>
      </c>
      <c r="H96" s="259"/>
    </row>
    <row r="97" spans="1:8" ht="15.75" x14ac:dyDescent="0.25">
      <c r="A97" s="79" t="s">
        <v>135</v>
      </c>
      <c r="B97" s="48" t="s">
        <v>39</v>
      </c>
      <c r="C97" s="127" t="s">
        <v>594</v>
      </c>
      <c r="D97" s="127" t="str">
        <f>VLOOKUP(A97,LUONGNGAY!$A$12:$K$90,11,0)</f>
        <v>KTV1+KS4</v>
      </c>
      <c r="E97" s="227">
        <f>VLOOKUP(A97,LUONGNGAY!$A$11:$O$90,15,0)</f>
        <v>367322</v>
      </c>
      <c r="F97" s="127">
        <v>0.11</v>
      </c>
      <c r="G97" s="228">
        <f t="shared" si="3"/>
        <v>40405.42</v>
      </c>
      <c r="H97" s="259"/>
    </row>
    <row r="98" spans="1:8" ht="31.5" x14ac:dyDescent="0.25">
      <c r="A98" s="79" t="s">
        <v>136</v>
      </c>
      <c r="B98" s="48" t="s">
        <v>40</v>
      </c>
      <c r="C98" s="127" t="s">
        <v>594</v>
      </c>
      <c r="D98" s="127" t="str">
        <f>VLOOKUP(A98,LUONGNGAY!$A$12:$K$90,11,0)</f>
        <v>KTV1+KS4</v>
      </c>
      <c r="E98" s="227">
        <f>VLOOKUP(A98,LUONGNGAY!$A$11:$O$90,15,0)</f>
        <v>367322</v>
      </c>
      <c r="F98" s="127">
        <v>0.72</v>
      </c>
      <c r="G98" s="228">
        <f t="shared" si="3"/>
        <v>264471.83999999997</v>
      </c>
      <c r="H98" s="259"/>
    </row>
    <row r="99" spans="1:8" ht="31.5" x14ac:dyDescent="0.25">
      <c r="A99" s="79" t="s">
        <v>137</v>
      </c>
      <c r="B99" s="48" t="s">
        <v>41</v>
      </c>
      <c r="C99" s="127" t="s">
        <v>594</v>
      </c>
      <c r="D99" s="127" t="str">
        <f>VLOOKUP(A99,LUONGNGAY!$A$12:$K$90,11,0)</f>
        <v>KTV1+KS4</v>
      </c>
      <c r="E99" s="227">
        <f>VLOOKUP(A99,LUONGNGAY!$A$11:$O$90,15,0)</f>
        <v>367322</v>
      </c>
      <c r="F99" s="127">
        <v>0.57999999999999996</v>
      </c>
      <c r="G99" s="228">
        <f t="shared" si="3"/>
        <v>213046.75999999998</v>
      </c>
      <c r="H99" s="259"/>
    </row>
    <row r="100" spans="1:8" ht="15.75" x14ac:dyDescent="0.25">
      <c r="A100" s="78"/>
      <c r="B100" s="278" t="s">
        <v>499</v>
      </c>
      <c r="C100" s="127"/>
      <c r="D100" s="127"/>
      <c r="E100" s="227"/>
      <c r="F100" s="127"/>
      <c r="G100" s="326">
        <f>SUM(G101:G113)</f>
        <v>6316418.3280000007</v>
      </c>
      <c r="H100" s="235" t="s">
        <v>503</v>
      </c>
    </row>
    <row r="101" spans="1:8" ht="31.5" x14ac:dyDescent="0.25">
      <c r="A101" s="79" t="s">
        <v>125</v>
      </c>
      <c r="B101" s="48" t="s">
        <v>29</v>
      </c>
      <c r="C101" s="127" t="s">
        <v>594</v>
      </c>
      <c r="D101" s="127" t="str">
        <f>VLOOKUP(A101,LUONGNGAY!$A$12:$K$90,11,0)</f>
        <v>KS7</v>
      </c>
      <c r="E101" s="227"/>
      <c r="F101" s="127"/>
      <c r="G101" s="228">
        <f>G87*1.1</f>
        <v>84080.700000000012</v>
      </c>
      <c r="H101" s="259"/>
    </row>
    <row r="102" spans="1:8" ht="31.5" x14ac:dyDescent="0.25">
      <c r="A102" s="79" t="s">
        <v>126</v>
      </c>
      <c r="B102" s="48" t="s">
        <v>30</v>
      </c>
      <c r="C102" s="127" t="s">
        <v>594</v>
      </c>
      <c r="D102" s="127" t="str">
        <f>VLOOKUP(A102,LUONGNGAY!$A$12:$K$90,11,0)</f>
        <v>KTV1</v>
      </c>
      <c r="E102" s="227"/>
      <c r="F102" s="127"/>
      <c r="G102" s="228">
        <f t="shared" ref="G102:G113" si="4">G88*1.1</f>
        <v>26065.115999999998</v>
      </c>
      <c r="H102" s="259"/>
    </row>
    <row r="103" spans="1:8" ht="15.75" x14ac:dyDescent="0.25">
      <c r="A103" s="79" t="s">
        <v>127</v>
      </c>
      <c r="B103" s="48" t="s">
        <v>31</v>
      </c>
      <c r="C103" s="127" t="s">
        <v>594</v>
      </c>
      <c r="D103" s="127" t="str">
        <f>VLOOKUP(A103,LUONGNGAY!$A$12:$K$90,11,0)</f>
        <v>KTV1+KS4</v>
      </c>
      <c r="E103" s="227"/>
      <c r="F103" s="127"/>
      <c r="G103" s="228">
        <f t="shared" si="4"/>
        <v>246473.06200000001</v>
      </c>
      <c r="H103" s="259"/>
    </row>
    <row r="104" spans="1:8" ht="15.75" x14ac:dyDescent="0.25">
      <c r="A104" s="79" t="s">
        <v>128</v>
      </c>
      <c r="B104" s="48" t="s">
        <v>32</v>
      </c>
      <c r="C104" s="127" t="s">
        <v>594</v>
      </c>
      <c r="D104" s="127" t="str">
        <f>VLOOKUP(A104,LUONGNGAY!$A$12:$K$90,11,0)</f>
        <v>KTV1+KS4</v>
      </c>
      <c r="E104" s="227"/>
      <c r="F104" s="127"/>
      <c r="G104" s="228">
        <f t="shared" si="4"/>
        <v>1260649.1040000003</v>
      </c>
      <c r="H104" s="259"/>
    </row>
    <row r="105" spans="1:8" ht="15.75" x14ac:dyDescent="0.25">
      <c r="A105" s="79" t="s">
        <v>129</v>
      </c>
      <c r="B105" s="48" t="s">
        <v>33</v>
      </c>
      <c r="C105" s="127" t="s">
        <v>594</v>
      </c>
      <c r="D105" s="127" t="str">
        <f>VLOOKUP(A105,LUONGNGAY!$A$12:$K$90,11,0)</f>
        <v>KTV1+KS4</v>
      </c>
      <c r="E105" s="227"/>
      <c r="F105" s="127"/>
      <c r="G105" s="228">
        <f t="shared" si="4"/>
        <v>1002054.416</v>
      </c>
      <c r="H105" s="259"/>
    </row>
    <row r="106" spans="1:8" ht="15.75" x14ac:dyDescent="0.25">
      <c r="A106" s="79" t="s">
        <v>130</v>
      </c>
      <c r="B106" s="48" t="s">
        <v>34</v>
      </c>
      <c r="C106" s="127" t="s">
        <v>594</v>
      </c>
      <c r="D106" s="127" t="str">
        <f>VLOOKUP(A106,LUONGNGAY!$A$12:$K$90,11,0)</f>
        <v>KTV1+KS4</v>
      </c>
      <c r="E106" s="227"/>
      <c r="F106" s="127"/>
      <c r="G106" s="228">
        <f t="shared" si="4"/>
        <v>670729.97200000007</v>
      </c>
      <c r="H106" s="259"/>
    </row>
    <row r="107" spans="1:8" ht="31.5" x14ac:dyDescent="0.25">
      <c r="A107" s="79" t="s">
        <v>131</v>
      </c>
      <c r="B107" s="48" t="s">
        <v>35</v>
      </c>
      <c r="C107" s="127" t="s">
        <v>594</v>
      </c>
      <c r="D107" s="127" t="str">
        <f>VLOOKUP(A107,LUONGNGAY!$A$12:$K$90,11,0)</f>
        <v>KTV1+KS4</v>
      </c>
      <c r="E107" s="227"/>
      <c r="F107" s="127"/>
      <c r="G107" s="228">
        <f t="shared" si="4"/>
        <v>161621.68000000002</v>
      </c>
      <c r="H107" s="259"/>
    </row>
    <row r="108" spans="1:8" ht="15.75" x14ac:dyDescent="0.25">
      <c r="A108" s="79" t="s">
        <v>132</v>
      </c>
      <c r="B108" s="48" t="s">
        <v>36</v>
      </c>
      <c r="C108" s="127" t="s">
        <v>594</v>
      </c>
      <c r="D108" s="127" t="str">
        <f>VLOOKUP(A108,LUONGNGAY!$A$12:$K$90,11,0)</f>
        <v>KTV1+KS4</v>
      </c>
      <c r="E108" s="227"/>
      <c r="F108" s="127"/>
      <c r="G108" s="228">
        <f t="shared" si="4"/>
        <v>1818243.9000000001</v>
      </c>
      <c r="H108" s="259"/>
    </row>
    <row r="109" spans="1:8" ht="15.75" x14ac:dyDescent="0.25">
      <c r="A109" s="79" t="s">
        <v>133</v>
      </c>
      <c r="B109" s="48" t="s">
        <v>37</v>
      </c>
      <c r="C109" s="127" t="s">
        <v>594</v>
      </c>
      <c r="D109" s="127" t="str">
        <f>VLOOKUP(A109,LUONGNGAY!$A$12:$K$90,11,0)</f>
        <v>KTV1+KS4</v>
      </c>
      <c r="E109" s="227"/>
      <c r="F109" s="127"/>
      <c r="G109" s="228">
        <f t="shared" si="4"/>
        <v>383851.49</v>
      </c>
      <c r="H109" s="259"/>
    </row>
    <row r="110" spans="1:8" ht="31.5" x14ac:dyDescent="0.25">
      <c r="A110" s="79" t="s">
        <v>134</v>
      </c>
      <c r="B110" s="48" t="s">
        <v>38</v>
      </c>
      <c r="C110" s="127" t="s">
        <v>594</v>
      </c>
      <c r="D110" s="127" t="str">
        <f>VLOOKUP(A110,LUONGNGAY!$A$12:$K$90,11,0)</f>
        <v>KTV1+KS4</v>
      </c>
      <c r="E110" s="227"/>
      <c r="F110" s="127"/>
      <c r="G110" s="228">
        <f t="shared" si="4"/>
        <v>92932.466</v>
      </c>
      <c r="H110" s="259"/>
    </row>
    <row r="111" spans="1:8" ht="15.75" x14ac:dyDescent="0.25">
      <c r="A111" s="79" t="s">
        <v>135</v>
      </c>
      <c r="B111" s="48" t="s">
        <v>39</v>
      </c>
      <c r="C111" s="127" t="s">
        <v>594</v>
      </c>
      <c r="D111" s="127" t="str">
        <f>VLOOKUP(A111,LUONGNGAY!$A$12:$K$90,11,0)</f>
        <v>KTV1+KS4</v>
      </c>
      <c r="E111" s="227"/>
      <c r="F111" s="127"/>
      <c r="G111" s="228">
        <f t="shared" si="4"/>
        <v>44445.962</v>
      </c>
      <c r="H111" s="259"/>
    </row>
    <row r="112" spans="1:8" ht="31.5" x14ac:dyDescent="0.25">
      <c r="A112" s="79" t="s">
        <v>136</v>
      </c>
      <c r="B112" s="48" t="s">
        <v>40</v>
      </c>
      <c r="C112" s="127" t="s">
        <v>594</v>
      </c>
      <c r="D112" s="127" t="str">
        <f>VLOOKUP(A112,LUONGNGAY!$A$12:$K$90,11,0)</f>
        <v>KTV1+KS4</v>
      </c>
      <c r="E112" s="227"/>
      <c r="F112" s="127"/>
      <c r="G112" s="228">
        <f t="shared" si="4"/>
        <v>290919.02399999998</v>
      </c>
      <c r="H112" s="259"/>
    </row>
    <row r="113" spans="1:8" ht="31.5" x14ac:dyDescent="0.25">
      <c r="A113" s="79" t="s">
        <v>137</v>
      </c>
      <c r="B113" s="48" t="s">
        <v>41</v>
      </c>
      <c r="C113" s="127" t="s">
        <v>594</v>
      </c>
      <c r="D113" s="127" t="str">
        <f>VLOOKUP(A113,LUONGNGAY!$A$12:$K$90,11,0)</f>
        <v>KTV1+KS4</v>
      </c>
      <c r="E113" s="227"/>
      <c r="F113" s="127"/>
      <c r="G113" s="228">
        <f t="shared" si="4"/>
        <v>234351.43599999999</v>
      </c>
      <c r="H113" s="259"/>
    </row>
    <row r="114" spans="1:8" ht="15.75" x14ac:dyDescent="0.25">
      <c r="A114" s="78" t="s">
        <v>138</v>
      </c>
      <c r="B114" s="143" t="s">
        <v>42</v>
      </c>
      <c r="C114" s="44"/>
      <c r="D114" s="44"/>
      <c r="E114" s="343"/>
      <c r="F114" s="44"/>
      <c r="G114" s="271"/>
      <c r="H114" s="282"/>
    </row>
    <row r="115" spans="1:8" ht="31.5" x14ac:dyDescent="0.25">
      <c r="A115" s="79" t="s">
        <v>139</v>
      </c>
      <c r="B115" s="48" t="s">
        <v>43</v>
      </c>
      <c r="C115" s="5" t="s">
        <v>595</v>
      </c>
      <c r="D115" s="127" t="str">
        <f>VLOOKUP(A115,LUONGNGAY!$A$12:$K$90,11,0)</f>
        <v>KS3</v>
      </c>
      <c r="E115" s="227">
        <f>VLOOKUP(A115,LUONGNGAY!$A$11:$O$90,15,0)</f>
        <v>212325</v>
      </c>
      <c r="F115" s="127">
        <v>0.04</v>
      </c>
      <c r="G115" s="228">
        <f t="shared" ref="G115:G145" si="5">E115*F115</f>
        <v>8493</v>
      </c>
      <c r="H115" s="259" t="s">
        <v>426</v>
      </c>
    </row>
    <row r="116" spans="1:8" ht="31.5" x14ac:dyDescent="0.25">
      <c r="A116" s="79" t="s">
        <v>140</v>
      </c>
      <c r="B116" s="48" t="s">
        <v>44</v>
      </c>
      <c r="C116" s="127" t="s">
        <v>425</v>
      </c>
      <c r="D116" s="127" t="str">
        <f>VLOOKUP(A116,LUONGNGAY!$A$12:$K$90,11,0)</f>
        <v>KS1</v>
      </c>
      <c r="E116" s="227">
        <f>VLOOKUP(A116,LUONGNGAY!$A$11:$O$90,15,0)</f>
        <v>165614</v>
      </c>
      <c r="F116" s="127">
        <v>0.1</v>
      </c>
      <c r="G116" s="228">
        <f t="shared" si="5"/>
        <v>16561.400000000001</v>
      </c>
      <c r="H116" s="259" t="s">
        <v>426</v>
      </c>
    </row>
    <row r="117" spans="1:8" ht="38.25" x14ac:dyDescent="0.25">
      <c r="A117" s="79" t="s">
        <v>141</v>
      </c>
      <c r="B117" s="48" t="s">
        <v>45</v>
      </c>
      <c r="C117" s="127"/>
      <c r="D117" s="127"/>
      <c r="E117" s="227"/>
      <c r="F117" s="127"/>
      <c r="G117" s="228"/>
      <c r="H117" s="42" t="s">
        <v>445</v>
      </c>
    </row>
    <row r="118" spans="1:8" ht="15.75" x14ac:dyDescent="0.25">
      <c r="A118" s="202" t="s">
        <v>228</v>
      </c>
      <c r="B118" s="278" t="s">
        <v>413</v>
      </c>
      <c r="C118" s="127"/>
      <c r="D118" s="127"/>
      <c r="E118" s="227"/>
      <c r="F118" s="127"/>
      <c r="G118" s="228"/>
      <c r="H118" s="189"/>
    </row>
    <row r="119" spans="1:8" ht="15.75" x14ac:dyDescent="0.25">
      <c r="A119" s="79" t="s">
        <v>89</v>
      </c>
      <c r="B119" s="48" t="s">
        <v>224</v>
      </c>
      <c r="C119" s="56" t="s">
        <v>411</v>
      </c>
      <c r="D119" s="127" t="str">
        <f>LUONGNGAY26[[#Headers],[KS1]]</f>
        <v>KS1</v>
      </c>
      <c r="E119" s="227">
        <f>'LUONGNGAY-TT26'!H45</f>
        <v>188969.25</v>
      </c>
      <c r="F119" s="127">
        <f>'LUONGNGAY-TT26'!I17</f>
        <v>2.48E-3</v>
      </c>
      <c r="G119" s="228">
        <f t="shared" si="5"/>
        <v>468.64373999999998</v>
      </c>
      <c r="H119" s="189"/>
    </row>
    <row r="120" spans="1:8" ht="15.75" x14ac:dyDescent="0.25">
      <c r="A120" s="79" t="s">
        <v>89</v>
      </c>
      <c r="B120" s="48" t="s">
        <v>225</v>
      </c>
      <c r="C120" s="56" t="s">
        <v>411</v>
      </c>
      <c r="D120" s="127" t="str">
        <f>LUONGNGAY26[[#Headers],[KS1]]</f>
        <v>KS1</v>
      </c>
      <c r="E120" s="227">
        <f>'LUONGNGAY-TT26'!H46</f>
        <v>188969.25</v>
      </c>
      <c r="F120" s="127">
        <f>'LUONGNGAY-TT26'!I18</f>
        <v>4.4000000000000003E-3</v>
      </c>
      <c r="G120" s="228">
        <f t="shared" si="5"/>
        <v>831.46469999999999</v>
      </c>
      <c r="H120" s="189"/>
    </row>
    <row r="121" spans="1:8" ht="15.75" x14ac:dyDescent="0.25">
      <c r="A121" s="79" t="s">
        <v>89</v>
      </c>
      <c r="B121" s="48" t="s">
        <v>232</v>
      </c>
      <c r="C121" s="56" t="s">
        <v>412</v>
      </c>
      <c r="D121" s="127" t="str">
        <f>LUONGNGAY26[[#Headers],[KS1]]</f>
        <v>KS1</v>
      </c>
      <c r="E121" s="227">
        <f>'LUONGNGAY-TT26'!H47</f>
        <v>188969.25</v>
      </c>
      <c r="F121" s="127">
        <f>'LUONGNGAY-TT26'!I19</f>
        <v>4.5359999999999998E-2</v>
      </c>
      <c r="G121" s="228">
        <f t="shared" si="5"/>
        <v>8571.6451799999995</v>
      </c>
      <c r="H121" s="189"/>
    </row>
    <row r="122" spans="1:8" ht="15.75" x14ac:dyDescent="0.25">
      <c r="A122" s="79" t="s">
        <v>89</v>
      </c>
      <c r="B122" s="48" t="s">
        <v>233</v>
      </c>
      <c r="C122" s="56" t="s">
        <v>412</v>
      </c>
      <c r="D122" s="127" t="str">
        <f>LUONGNGAY26[[#Headers],[KS1]]</f>
        <v>KS1</v>
      </c>
      <c r="E122" s="227">
        <f>'LUONGNGAY-TT26'!H48</f>
        <v>188969.25</v>
      </c>
      <c r="F122" s="127">
        <f>'LUONGNGAY-TT26'!I20</f>
        <v>5.3600000000000002E-2</v>
      </c>
      <c r="G122" s="228">
        <f t="shared" si="5"/>
        <v>10128.7518</v>
      </c>
      <c r="H122" s="189"/>
    </row>
    <row r="123" spans="1:8" ht="31.5" x14ac:dyDescent="0.25">
      <c r="A123" s="79" t="s">
        <v>89</v>
      </c>
      <c r="B123" s="48" t="s">
        <v>226</v>
      </c>
      <c r="C123" s="56" t="s">
        <v>411</v>
      </c>
      <c r="D123" s="127" t="str">
        <f>LUONGNGAY26[[#Headers],[KS1]]</f>
        <v>KS1</v>
      </c>
      <c r="E123" s="227">
        <f>'LUONGNGAY-TT26'!H49</f>
        <v>188969.25</v>
      </c>
      <c r="F123" s="127">
        <f>'LUONGNGAY-TT26'!I21</f>
        <v>7.2000000000000005E-4</v>
      </c>
      <c r="G123" s="228">
        <f t="shared" si="5"/>
        <v>136.05786000000001</v>
      </c>
      <c r="H123" s="189"/>
    </row>
    <row r="124" spans="1:8" ht="31.5" x14ac:dyDescent="0.25">
      <c r="A124" s="79" t="s">
        <v>89</v>
      </c>
      <c r="B124" s="48" t="s">
        <v>227</v>
      </c>
      <c r="C124" s="56" t="s">
        <v>411</v>
      </c>
      <c r="D124" s="127" t="str">
        <f>LUONGNGAY26[[#Headers],[KS1]]</f>
        <v>KS1</v>
      </c>
      <c r="E124" s="227">
        <f>'LUONGNGAY-TT26'!H50</f>
        <v>188969.25</v>
      </c>
      <c r="F124" s="127">
        <f>'LUONGNGAY-TT26'!I22</f>
        <v>1.1999999999999999E-3</v>
      </c>
      <c r="G124" s="228">
        <f t="shared" si="5"/>
        <v>226.76309999999998</v>
      </c>
      <c r="H124" s="189"/>
    </row>
    <row r="125" spans="1:8" ht="31.5" x14ac:dyDescent="0.25">
      <c r="A125" s="79" t="s">
        <v>89</v>
      </c>
      <c r="B125" s="48" t="s">
        <v>234</v>
      </c>
      <c r="C125" s="56" t="s">
        <v>412</v>
      </c>
      <c r="D125" s="127" t="str">
        <f>LUONGNGAY26[[#Headers],[KS1]]</f>
        <v>KS1</v>
      </c>
      <c r="E125" s="227">
        <f>'LUONGNGAY-TT26'!H51</f>
        <v>188969.25</v>
      </c>
      <c r="F125" s="127">
        <f>'LUONGNGAY-TT26'!I23</f>
        <v>1.1440000000000001E-2</v>
      </c>
      <c r="G125" s="228">
        <f t="shared" si="5"/>
        <v>2161.8082199999999</v>
      </c>
      <c r="H125" s="189"/>
    </row>
    <row r="126" spans="1:8" ht="31.5" x14ac:dyDescent="0.25">
      <c r="A126" s="79" t="s">
        <v>89</v>
      </c>
      <c r="B126" s="48" t="s">
        <v>227</v>
      </c>
      <c r="C126" s="56" t="s">
        <v>412</v>
      </c>
      <c r="D126" s="127" t="str">
        <f>LUONGNGAY26[[#Headers],[KS1]]</f>
        <v>KS1</v>
      </c>
      <c r="E126" s="227">
        <f>'LUONGNGAY-TT26'!H52</f>
        <v>188969.25</v>
      </c>
      <c r="F126" s="127">
        <f>'LUONGNGAY-TT26'!I24</f>
        <v>1.3599999999999999E-2</v>
      </c>
      <c r="G126" s="228">
        <f t="shared" si="5"/>
        <v>2569.9818</v>
      </c>
      <c r="H126" s="189"/>
    </row>
    <row r="127" spans="1:8" ht="15.75" x14ac:dyDescent="0.25">
      <c r="A127" s="202" t="s">
        <v>229</v>
      </c>
      <c r="B127" s="278" t="s">
        <v>414</v>
      </c>
      <c r="C127" s="127"/>
      <c r="D127" s="127"/>
      <c r="E127" s="227"/>
      <c r="F127" s="127"/>
      <c r="G127" s="228"/>
      <c r="H127" s="189"/>
    </row>
    <row r="128" spans="1:8" ht="15.75" x14ac:dyDescent="0.25">
      <c r="A128" s="79" t="s">
        <v>89</v>
      </c>
      <c r="B128" s="48" t="s">
        <v>224</v>
      </c>
      <c r="C128" s="56" t="s">
        <v>411</v>
      </c>
      <c r="D128" s="127" t="str">
        <f>LUONGNGAY26[[#Headers],[KS1]]</f>
        <v>KS1</v>
      </c>
      <c r="E128" s="227">
        <f>'LUONGNGAY-TT26'!H54</f>
        <v>188969.25</v>
      </c>
      <c r="F128" s="127">
        <f>'LUONGNGAY-TT26'!I26</f>
        <v>3.0999999999999999E-3</v>
      </c>
      <c r="G128" s="228">
        <f t="shared" ref="G128:G135" si="6">E128*F128</f>
        <v>585.80467499999997</v>
      </c>
      <c r="H128" s="189"/>
    </row>
    <row r="129" spans="1:8" ht="15.75" x14ac:dyDescent="0.25">
      <c r="A129" s="79" t="s">
        <v>89</v>
      </c>
      <c r="B129" s="48" t="s">
        <v>225</v>
      </c>
      <c r="C129" s="56" t="s">
        <v>411</v>
      </c>
      <c r="D129" s="127" t="str">
        <f>LUONGNGAY26[[#Headers],[KS1]]</f>
        <v>KS1</v>
      </c>
      <c r="E129" s="227">
        <f>'LUONGNGAY-TT26'!H55</f>
        <v>188969.25</v>
      </c>
      <c r="F129" s="127">
        <f>'LUONGNGAY-TT26'!I27</f>
        <v>5.4999999999999997E-3</v>
      </c>
      <c r="G129" s="228">
        <f t="shared" si="6"/>
        <v>1039.3308749999999</v>
      </c>
      <c r="H129" s="189"/>
    </row>
    <row r="130" spans="1:8" ht="15.75" x14ac:dyDescent="0.25">
      <c r="A130" s="79" t="s">
        <v>89</v>
      </c>
      <c r="B130" s="48" t="s">
        <v>232</v>
      </c>
      <c r="C130" s="56" t="s">
        <v>412</v>
      </c>
      <c r="D130" s="127" t="str">
        <f>LUONGNGAY26[[#Headers],[KS1]]</f>
        <v>KS1</v>
      </c>
      <c r="E130" s="227">
        <f>'LUONGNGAY-TT26'!H56</f>
        <v>188969.25</v>
      </c>
      <c r="F130" s="127">
        <f>'LUONGNGAY-TT26'!I28</f>
        <v>5.67E-2</v>
      </c>
      <c r="G130" s="228">
        <f t="shared" si="6"/>
        <v>10714.556474999999</v>
      </c>
      <c r="H130" s="189"/>
    </row>
    <row r="131" spans="1:8" ht="15.75" x14ac:dyDescent="0.25">
      <c r="A131" s="79" t="s">
        <v>89</v>
      </c>
      <c r="B131" s="48" t="s">
        <v>233</v>
      </c>
      <c r="C131" s="56" t="s">
        <v>412</v>
      </c>
      <c r="D131" s="127" t="str">
        <f>LUONGNGAY26[[#Headers],[KS1]]</f>
        <v>KS1</v>
      </c>
      <c r="E131" s="227">
        <f>'LUONGNGAY-TT26'!H57</f>
        <v>188969.25</v>
      </c>
      <c r="F131" s="127">
        <f>'LUONGNGAY-TT26'!I29</f>
        <v>6.7000000000000004E-2</v>
      </c>
      <c r="G131" s="228">
        <f t="shared" si="6"/>
        <v>12660.939750000001</v>
      </c>
      <c r="H131" s="189"/>
    </row>
    <row r="132" spans="1:8" ht="31.5" x14ac:dyDescent="0.25">
      <c r="A132" s="79" t="s">
        <v>89</v>
      </c>
      <c r="B132" s="48" t="s">
        <v>226</v>
      </c>
      <c r="C132" s="56" t="s">
        <v>411</v>
      </c>
      <c r="D132" s="127" t="str">
        <f>LUONGNGAY26[[#Headers],[KS1]]</f>
        <v>KS1</v>
      </c>
      <c r="E132" s="227">
        <f>'LUONGNGAY-TT26'!H58</f>
        <v>188969.25</v>
      </c>
      <c r="F132" s="127">
        <f>'LUONGNGAY-TT26'!I30</f>
        <v>8.9999999999999998E-4</v>
      </c>
      <c r="G132" s="228">
        <f t="shared" si="6"/>
        <v>170.07232500000001</v>
      </c>
      <c r="H132" s="189"/>
    </row>
    <row r="133" spans="1:8" ht="31.5" x14ac:dyDescent="0.25">
      <c r="A133" s="79" t="s">
        <v>89</v>
      </c>
      <c r="B133" s="48" t="s">
        <v>227</v>
      </c>
      <c r="C133" s="56" t="s">
        <v>411</v>
      </c>
      <c r="D133" s="127" t="str">
        <f>LUONGNGAY26[[#Headers],[KS1]]</f>
        <v>KS1</v>
      </c>
      <c r="E133" s="227">
        <f>'LUONGNGAY-TT26'!H59</f>
        <v>188969.25</v>
      </c>
      <c r="F133" s="127">
        <f>'LUONGNGAY-TT26'!I31</f>
        <v>1.5E-3</v>
      </c>
      <c r="G133" s="228">
        <f t="shared" si="6"/>
        <v>283.45387499999998</v>
      </c>
      <c r="H133" s="189"/>
    </row>
    <row r="134" spans="1:8" ht="31.5" x14ac:dyDescent="0.25">
      <c r="A134" s="79" t="s">
        <v>89</v>
      </c>
      <c r="B134" s="48" t="s">
        <v>234</v>
      </c>
      <c r="C134" s="56" t="s">
        <v>412</v>
      </c>
      <c r="D134" s="127" t="str">
        <f>LUONGNGAY26[[#Headers],[KS1]]</f>
        <v>KS1</v>
      </c>
      <c r="E134" s="227">
        <f>'LUONGNGAY-TT26'!H60</f>
        <v>188969.25</v>
      </c>
      <c r="F134" s="127">
        <f>'LUONGNGAY-TT26'!I32</f>
        <v>1.43E-2</v>
      </c>
      <c r="G134" s="228">
        <f t="shared" si="6"/>
        <v>2702.2602750000001</v>
      </c>
      <c r="H134" s="189"/>
    </row>
    <row r="135" spans="1:8" ht="31.5" x14ac:dyDescent="0.25">
      <c r="A135" s="79" t="s">
        <v>89</v>
      </c>
      <c r="B135" s="48" t="s">
        <v>227</v>
      </c>
      <c r="C135" s="56" t="s">
        <v>412</v>
      </c>
      <c r="D135" s="127" t="str">
        <f>LUONGNGAY26[[#Headers],[KS1]]</f>
        <v>KS1</v>
      </c>
      <c r="E135" s="227">
        <f>'LUONGNGAY-TT26'!H61</f>
        <v>188969.25</v>
      </c>
      <c r="F135" s="127">
        <f>'LUONGNGAY-TT26'!I33</f>
        <v>1.7000000000000001E-2</v>
      </c>
      <c r="G135" s="228">
        <f t="shared" si="6"/>
        <v>3212.4772500000004</v>
      </c>
      <c r="H135" s="189"/>
    </row>
    <row r="136" spans="1:8" ht="15.75" x14ac:dyDescent="0.25">
      <c r="A136" s="202" t="s">
        <v>230</v>
      </c>
      <c r="B136" s="278" t="s">
        <v>415</v>
      </c>
      <c r="C136" s="127"/>
      <c r="D136" s="127"/>
      <c r="E136" s="227"/>
      <c r="F136" s="127"/>
      <c r="G136" s="228"/>
      <c r="H136" s="189"/>
    </row>
    <row r="137" spans="1:8" ht="15.75" x14ac:dyDescent="0.25">
      <c r="A137" s="79" t="s">
        <v>89</v>
      </c>
      <c r="B137" s="48" t="s">
        <v>224</v>
      </c>
      <c r="C137" s="56" t="s">
        <v>411</v>
      </c>
      <c r="D137" s="127" t="str">
        <f>LUONGNGAY26[[#Headers],[KS1]]</f>
        <v>KS1</v>
      </c>
      <c r="E137" s="227">
        <f>'LUONGNGAY-TT26'!H63</f>
        <v>188969.25</v>
      </c>
      <c r="F137" s="127">
        <f>'LUONGNGAY-TT26'!I35</f>
        <v>4.0299999999999997E-3</v>
      </c>
      <c r="G137" s="228">
        <f t="shared" ref="G137:G144" si="7">E137*F137</f>
        <v>761.54607749999991</v>
      </c>
      <c r="H137" s="189"/>
    </row>
    <row r="138" spans="1:8" ht="15.75" x14ac:dyDescent="0.25">
      <c r="A138" s="79" t="s">
        <v>89</v>
      </c>
      <c r="B138" s="48" t="s">
        <v>225</v>
      </c>
      <c r="C138" s="56" t="s">
        <v>411</v>
      </c>
      <c r="D138" s="127" t="str">
        <f>LUONGNGAY26[[#Headers],[KS1]]</f>
        <v>KS1</v>
      </c>
      <c r="E138" s="227">
        <f>'LUONGNGAY-TT26'!H64</f>
        <v>188969.25</v>
      </c>
      <c r="F138" s="127">
        <f>'LUONGNGAY-TT26'!I36</f>
        <v>7.1500000000000001E-3</v>
      </c>
      <c r="G138" s="228">
        <f t="shared" si="7"/>
        <v>1351.1301375</v>
      </c>
      <c r="H138" s="189"/>
    </row>
    <row r="139" spans="1:8" ht="15.75" x14ac:dyDescent="0.25">
      <c r="A139" s="79" t="s">
        <v>89</v>
      </c>
      <c r="B139" s="48" t="s">
        <v>232</v>
      </c>
      <c r="C139" s="56" t="s">
        <v>412</v>
      </c>
      <c r="D139" s="127" t="str">
        <f>LUONGNGAY26[[#Headers],[KS1]]</f>
        <v>KS1</v>
      </c>
      <c r="E139" s="227">
        <f>'LUONGNGAY-TT26'!H65</f>
        <v>188969.25</v>
      </c>
      <c r="F139" s="127">
        <f>'LUONGNGAY-TT26'!I37</f>
        <v>7.3709999999999998E-2</v>
      </c>
      <c r="G139" s="228">
        <f t="shared" si="7"/>
        <v>13928.9234175</v>
      </c>
      <c r="H139" s="189"/>
    </row>
    <row r="140" spans="1:8" ht="15.75" x14ac:dyDescent="0.25">
      <c r="A140" s="79" t="s">
        <v>89</v>
      </c>
      <c r="B140" s="48" t="s">
        <v>233</v>
      </c>
      <c r="C140" s="56" t="s">
        <v>412</v>
      </c>
      <c r="D140" s="127" t="str">
        <f>LUONGNGAY26[[#Headers],[KS1]]</f>
        <v>KS1</v>
      </c>
      <c r="E140" s="227">
        <f>'LUONGNGAY-TT26'!H66</f>
        <v>188969.25</v>
      </c>
      <c r="F140" s="127">
        <f>'LUONGNGAY-TT26'!I38</f>
        <v>8.7099999999999997E-2</v>
      </c>
      <c r="G140" s="228">
        <f t="shared" si="7"/>
        <v>16459.221675000001</v>
      </c>
      <c r="H140" s="189"/>
    </row>
    <row r="141" spans="1:8" ht="31.5" x14ac:dyDescent="0.25">
      <c r="A141" s="79" t="s">
        <v>89</v>
      </c>
      <c r="B141" s="48" t="s">
        <v>226</v>
      </c>
      <c r="C141" s="56" t="s">
        <v>411</v>
      </c>
      <c r="D141" s="127" t="str">
        <f>LUONGNGAY26[[#Headers],[KS1]]</f>
        <v>KS1</v>
      </c>
      <c r="E141" s="227">
        <f>'LUONGNGAY-TT26'!H67</f>
        <v>188969.25</v>
      </c>
      <c r="F141" s="127">
        <f>'LUONGNGAY-TT26'!I39</f>
        <v>1.17E-3</v>
      </c>
      <c r="G141" s="228">
        <f t="shared" si="7"/>
        <v>221.09402249999999</v>
      </c>
      <c r="H141" s="189"/>
    </row>
    <row r="142" spans="1:8" ht="31.5" x14ac:dyDescent="0.25">
      <c r="A142" s="79" t="s">
        <v>89</v>
      </c>
      <c r="B142" s="48" t="s">
        <v>227</v>
      </c>
      <c r="C142" s="56" t="s">
        <v>411</v>
      </c>
      <c r="D142" s="127" t="str">
        <f>LUONGNGAY26[[#Headers],[KS1]]</f>
        <v>KS1</v>
      </c>
      <c r="E142" s="227">
        <f>'LUONGNGAY-TT26'!H68</f>
        <v>188969.25</v>
      </c>
      <c r="F142" s="127">
        <f>'LUONGNGAY-TT26'!I40</f>
        <v>1.9499999999999999E-3</v>
      </c>
      <c r="G142" s="228">
        <f t="shared" si="7"/>
        <v>368.49003749999997</v>
      </c>
      <c r="H142" s="189"/>
    </row>
    <row r="143" spans="1:8" ht="31.5" x14ac:dyDescent="0.25">
      <c r="A143" s="79" t="s">
        <v>89</v>
      </c>
      <c r="B143" s="48" t="s">
        <v>234</v>
      </c>
      <c r="C143" s="56" t="s">
        <v>412</v>
      </c>
      <c r="D143" s="127" t="str">
        <f>LUONGNGAY26[[#Headers],[KS1]]</f>
        <v>KS1</v>
      </c>
      <c r="E143" s="227">
        <f>'LUONGNGAY-TT26'!H69</f>
        <v>188969.25</v>
      </c>
      <c r="F143" s="127">
        <f>'LUONGNGAY-TT26'!I41</f>
        <v>1.8589999999999999E-2</v>
      </c>
      <c r="G143" s="228">
        <f t="shared" si="7"/>
        <v>3512.9383574999997</v>
      </c>
      <c r="H143" s="189"/>
    </row>
    <row r="144" spans="1:8" ht="31.5" x14ac:dyDescent="0.25">
      <c r="A144" s="79" t="s">
        <v>89</v>
      </c>
      <c r="B144" s="48" t="s">
        <v>227</v>
      </c>
      <c r="C144" s="56" t="s">
        <v>412</v>
      </c>
      <c r="D144" s="127" t="str">
        <f>LUONGNGAY26[[#Headers],[KS1]]</f>
        <v>KS1</v>
      </c>
      <c r="E144" s="227">
        <f>'LUONGNGAY-TT26'!H70</f>
        <v>188969.25</v>
      </c>
      <c r="F144" s="127">
        <f>'LUONGNGAY-TT26'!I42</f>
        <v>2.2100000000000002E-2</v>
      </c>
      <c r="G144" s="228">
        <f t="shared" si="7"/>
        <v>4176.2204250000004</v>
      </c>
      <c r="H144" s="189"/>
    </row>
    <row r="145" spans="1:8" ht="31.5" x14ac:dyDescent="0.25">
      <c r="A145" s="79" t="s">
        <v>142</v>
      </c>
      <c r="B145" s="48" t="s">
        <v>46</v>
      </c>
      <c r="C145" s="5" t="s">
        <v>595</v>
      </c>
      <c r="D145" s="127" t="str">
        <f>VLOOKUP(A145,LUONGNGAY!$A$12:$K$90,11,0)</f>
        <v>KS3</v>
      </c>
      <c r="E145" s="227">
        <f>VLOOKUP(A145,LUONGNGAY!$A$11:$O$90,15,0)</f>
        <v>212325</v>
      </c>
      <c r="F145" s="127">
        <v>1.4999999999999999E-2</v>
      </c>
      <c r="G145" s="228">
        <f t="shared" si="5"/>
        <v>3184.875</v>
      </c>
      <c r="H145" s="259" t="s">
        <v>426</v>
      </c>
    </row>
    <row r="146" spans="1:8" ht="15.75" x14ac:dyDescent="0.25">
      <c r="A146" s="79" t="s">
        <v>143</v>
      </c>
      <c r="B146" s="48" t="s">
        <v>47</v>
      </c>
      <c r="C146" s="127"/>
      <c r="D146" s="127"/>
      <c r="E146" s="227"/>
      <c r="F146" s="127"/>
      <c r="G146" s="228"/>
      <c r="H146" s="411" t="s">
        <v>54</v>
      </c>
    </row>
    <row r="147" spans="1:8" ht="15.75" x14ac:dyDescent="0.25">
      <c r="A147" s="78" t="s">
        <v>144</v>
      </c>
      <c r="B147" s="143" t="s">
        <v>48</v>
      </c>
      <c r="C147" s="127"/>
      <c r="D147" s="127"/>
      <c r="E147" s="227"/>
      <c r="F147" s="127"/>
      <c r="G147" s="228"/>
      <c r="H147" s="259"/>
    </row>
    <row r="148" spans="1:8" ht="15.75" x14ac:dyDescent="0.25">
      <c r="A148" s="78"/>
      <c r="B148" s="278" t="s">
        <v>272</v>
      </c>
      <c r="C148" s="127"/>
      <c r="D148" s="127"/>
      <c r="E148" s="227"/>
      <c r="F148" s="127"/>
      <c r="G148" s="326">
        <f>SUM(G149:G150)</f>
        <v>110417.47600000001</v>
      </c>
      <c r="H148" s="233" t="s">
        <v>491</v>
      </c>
    </row>
    <row r="149" spans="1:8" ht="15.75" x14ac:dyDescent="0.25">
      <c r="A149" s="79" t="s">
        <v>145</v>
      </c>
      <c r="B149" s="48" t="s">
        <v>48</v>
      </c>
      <c r="C149" s="5" t="s">
        <v>592</v>
      </c>
      <c r="D149" s="127" t="str">
        <f>VLOOKUP(A149,LUONGNGAY!$A$12:$K$90,11,0)</f>
        <v>KTV1+KTV2+KS2</v>
      </c>
      <c r="E149" s="227">
        <f>VLOOKUP(A149,LUONGNGAY!$A$11:$O$90,15,0)</f>
        <v>466407</v>
      </c>
      <c r="F149" s="127">
        <v>0.16800000000000001</v>
      </c>
      <c r="G149" s="228">
        <f t="shared" ref="G149:G150" si="8">E149*F149</f>
        <v>78356.376000000004</v>
      </c>
      <c r="H149" s="259" t="s">
        <v>436</v>
      </c>
    </row>
    <row r="150" spans="1:8" ht="15.75" x14ac:dyDescent="0.25">
      <c r="A150" s="79" t="s">
        <v>146</v>
      </c>
      <c r="B150" s="48" t="s">
        <v>49</v>
      </c>
      <c r="C150" s="5" t="s">
        <v>590</v>
      </c>
      <c r="D150" s="127" t="str">
        <f>VLOOKUP(A150,LUONGNGAY!$A$12:$K$90,11,0)</f>
        <v>KTV1+KS2</v>
      </c>
      <c r="E150" s="227">
        <f>VLOOKUP(A150,LUONGNGAY!$A$11:$O$90,15,0)</f>
        <v>320611</v>
      </c>
      <c r="F150" s="127">
        <v>0.1</v>
      </c>
      <c r="G150" s="228">
        <f t="shared" si="8"/>
        <v>32061.100000000002</v>
      </c>
      <c r="H150" s="259"/>
    </row>
    <row r="151" spans="1:8" ht="15.75" x14ac:dyDescent="0.25">
      <c r="A151" s="78"/>
      <c r="B151" s="278" t="s">
        <v>273</v>
      </c>
      <c r="C151" s="127"/>
      <c r="D151" s="127"/>
      <c r="E151" s="227"/>
      <c r="F151" s="127"/>
      <c r="G151" s="326">
        <f>SUM(G152:G153)</f>
        <v>132500.9712</v>
      </c>
      <c r="H151" s="233" t="s">
        <v>489</v>
      </c>
    </row>
    <row r="152" spans="1:8" ht="15.75" x14ac:dyDescent="0.25">
      <c r="A152" s="79" t="s">
        <v>145</v>
      </c>
      <c r="B152" s="48" t="s">
        <v>48</v>
      </c>
      <c r="C152" s="5" t="s">
        <v>592</v>
      </c>
      <c r="D152" s="127" t="str">
        <f>VLOOKUP(A152,LUONGNGAY!$A$12:$K$90,11,0)</f>
        <v>KTV1+KTV2+KS2</v>
      </c>
      <c r="E152" s="227"/>
      <c r="F152" s="127"/>
      <c r="G152" s="228">
        <f>G149*1.2</f>
        <v>94027.651200000008</v>
      </c>
      <c r="H152" s="259"/>
    </row>
    <row r="153" spans="1:8" ht="15.75" x14ac:dyDescent="0.25">
      <c r="A153" s="79" t="s">
        <v>146</v>
      </c>
      <c r="B153" s="48" t="s">
        <v>49</v>
      </c>
      <c r="C153" s="5" t="s">
        <v>590</v>
      </c>
      <c r="D153" s="127" t="str">
        <f>VLOOKUP(A153,LUONGNGAY!$A$12:$K$90,11,0)</f>
        <v>KTV1+KS2</v>
      </c>
      <c r="E153" s="227"/>
      <c r="F153" s="127"/>
      <c r="G153" s="228">
        <f>G150*1.2</f>
        <v>38473.32</v>
      </c>
      <c r="H153" s="259"/>
    </row>
    <row r="154" spans="1:8" ht="15.75" x14ac:dyDescent="0.25">
      <c r="A154" s="78"/>
      <c r="B154" s="278" t="s">
        <v>274</v>
      </c>
      <c r="C154" s="127"/>
      <c r="D154" s="127"/>
      <c r="E154" s="227"/>
      <c r="F154" s="127"/>
      <c r="G154" s="326">
        <f>SUM(G155:G156)</f>
        <v>165626.21400000001</v>
      </c>
      <c r="H154" s="233" t="s">
        <v>490</v>
      </c>
    </row>
    <row r="155" spans="1:8" ht="15.75" x14ac:dyDescent="0.25">
      <c r="A155" s="79" t="s">
        <v>145</v>
      </c>
      <c r="B155" s="48" t="s">
        <v>48</v>
      </c>
      <c r="C155" s="5" t="s">
        <v>592</v>
      </c>
      <c r="D155" s="127" t="str">
        <f>VLOOKUP(A155,LUONGNGAY!$A$12:$K$90,11,0)</f>
        <v>KTV1+KTV2+KS2</v>
      </c>
      <c r="E155" s="227"/>
      <c r="F155" s="127"/>
      <c r="G155" s="228">
        <f>G149*1.5</f>
        <v>117534.56400000001</v>
      </c>
      <c r="H155" s="259"/>
    </row>
    <row r="156" spans="1:8" ht="15.75" x14ac:dyDescent="0.25">
      <c r="A156" s="79" t="s">
        <v>146</v>
      </c>
      <c r="B156" s="48" t="s">
        <v>49</v>
      </c>
      <c r="C156" s="5" t="s">
        <v>590</v>
      </c>
      <c r="D156" s="127" t="str">
        <f>VLOOKUP(A156,LUONGNGAY!$A$12:$K$90,11,0)</f>
        <v>KTV1+KS2</v>
      </c>
      <c r="E156" s="227"/>
      <c r="F156" s="127"/>
      <c r="G156" s="228">
        <f>G150*1.5</f>
        <v>48091.65</v>
      </c>
      <c r="H156" s="259"/>
    </row>
    <row r="157" spans="1:8" ht="15.75" x14ac:dyDescent="0.25">
      <c r="A157" s="78" t="s">
        <v>296</v>
      </c>
      <c r="B157" s="143" t="s">
        <v>50</v>
      </c>
      <c r="C157" s="304"/>
      <c r="D157" s="127"/>
      <c r="E157" s="227"/>
      <c r="F157" s="127"/>
      <c r="G157" s="228"/>
      <c r="H157" s="259"/>
    </row>
    <row r="158" spans="1:8" ht="15.75" x14ac:dyDescent="0.25">
      <c r="A158" s="78"/>
      <c r="B158" s="278" t="s">
        <v>272</v>
      </c>
      <c r="C158" s="304"/>
      <c r="D158" s="127"/>
      <c r="E158" s="227"/>
      <c r="F158" s="127"/>
      <c r="G158" s="326">
        <f>SUM(G159:G160)</f>
        <v>333580.82799999998</v>
      </c>
      <c r="H158" s="233" t="s">
        <v>491</v>
      </c>
    </row>
    <row r="159" spans="1:8" ht="15.75" x14ac:dyDescent="0.25">
      <c r="A159" s="79" t="s">
        <v>147</v>
      </c>
      <c r="B159" s="48" t="s">
        <v>50</v>
      </c>
      <c r="C159" s="127" t="s">
        <v>594</v>
      </c>
      <c r="D159" s="127" t="str">
        <f>VLOOKUP(A159,LUONGNGAY!$A$12:$K$90,11,0)</f>
        <v>KTV1</v>
      </c>
      <c r="E159" s="227">
        <f>VLOOKUP(A159,LUONGNGAY!$A$11:$O$90,15,0)</f>
        <v>131642</v>
      </c>
      <c r="F159" s="127">
        <v>2.5339999999999998</v>
      </c>
      <c r="G159" s="228">
        <f t="shared" ref="G159" si="9">E159*F159</f>
        <v>333580.82799999998</v>
      </c>
      <c r="H159" s="259" t="s">
        <v>433</v>
      </c>
    </row>
    <row r="160" spans="1:8" ht="15.75" x14ac:dyDescent="0.25">
      <c r="A160" s="79" t="s">
        <v>148</v>
      </c>
      <c r="B160" s="48" t="s">
        <v>51</v>
      </c>
      <c r="C160" s="127"/>
      <c r="D160" s="127"/>
      <c r="E160" s="227"/>
      <c r="F160" s="127"/>
      <c r="G160" s="228"/>
      <c r="H160" s="411" t="s">
        <v>54</v>
      </c>
    </row>
    <row r="161" spans="1:8" ht="15.75" x14ac:dyDescent="0.25">
      <c r="A161" s="78"/>
      <c r="B161" s="278" t="s">
        <v>273</v>
      </c>
      <c r="C161" s="304"/>
      <c r="D161" s="127"/>
      <c r="E161" s="227"/>
      <c r="F161" s="127"/>
      <c r="G161" s="326">
        <f>SUM(G162:G163)</f>
        <v>400296.99359999999</v>
      </c>
      <c r="H161" s="233" t="s">
        <v>489</v>
      </c>
    </row>
    <row r="162" spans="1:8" ht="15.75" x14ac:dyDescent="0.25">
      <c r="A162" s="79" t="s">
        <v>147</v>
      </c>
      <c r="B162" s="48" t="s">
        <v>50</v>
      </c>
      <c r="C162" s="127" t="s">
        <v>594</v>
      </c>
      <c r="D162" s="127" t="str">
        <f>VLOOKUP(A162,LUONGNGAY!$A$12:$K$90,11,0)</f>
        <v>KTV1</v>
      </c>
      <c r="E162" s="227"/>
      <c r="F162" s="127"/>
      <c r="G162" s="228">
        <f>G159*1.2</f>
        <v>400296.99359999999</v>
      </c>
      <c r="H162" s="259"/>
    </row>
    <row r="163" spans="1:8" ht="15.75" x14ac:dyDescent="0.25">
      <c r="A163" s="79" t="s">
        <v>148</v>
      </c>
      <c r="B163" s="48" t="s">
        <v>51</v>
      </c>
      <c r="C163" s="127"/>
      <c r="D163" s="127"/>
      <c r="E163" s="227"/>
      <c r="F163" s="127"/>
      <c r="G163" s="228"/>
      <c r="H163" s="411" t="s">
        <v>54</v>
      </c>
    </row>
    <row r="164" spans="1:8" ht="15.75" x14ac:dyDescent="0.25">
      <c r="A164" s="78"/>
      <c r="B164" s="278" t="s">
        <v>274</v>
      </c>
      <c r="C164" s="304"/>
      <c r="D164" s="127"/>
      <c r="E164" s="227"/>
      <c r="F164" s="127"/>
      <c r="G164" s="326">
        <f>SUM(G165:G166)</f>
        <v>500371.24199999997</v>
      </c>
      <c r="H164" s="233" t="s">
        <v>490</v>
      </c>
    </row>
    <row r="165" spans="1:8" ht="15.75" x14ac:dyDescent="0.25">
      <c r="A165" s="79" t="s">
        <v>147</v>
      </c>
      <c r="B165" s="48" t="s">
        <v>50</v>
      </c>
      <c r="C165" s="127" t="s">
        <v>594</v>
      </c>
      <c r="D165" s="127" t="str">
        <f>VLOOKUP(A165,LUONGNGAY!$A$12:$K$90,11,0)</f>
        <v>KTV1</v>
      </c>
      <c r="E165" s="227"/>
      <c r="F165" s="127"/>
      <c r="G165" s="228">
        <f>G159*1.5</f>
        <v>500371.24199999997</v>
      </c>
      <c r="H165" s="259"/>
    </row>
    <row r="166" spans="1:8" ht="15.75" x14ac:dyDescent="0.25">
      <c r="A166" s="79" t="s">
        <v>148</v>
      </c>
      <c r="B166" s="48" t="s">
        <v>51</v>
      </c>
      <c r="C166" s="127"/>
      <c r="D166" s="127"/>
      <c r="E166" s="227"/>
      <c r="F166" s="127"/>
      <c r="G166" s="228"/>
      <c r="H166" s="411" t="s">
        <v>54</v>
      </c>
    </row>
    <row r="167" spans="1:8" ht="15.75" x14ac:dyDescent="0.25">
      <c r="A167" s="78" t="s">
        <v>161</v>
      </c>
      <c r="B167" s="143" t="s">
        <v>57</v>
      </c>
      <c r="C167" s="127"/>
      <c r="D167" s="127"/>
      <c r="E167" s="227"/>
      <c r="F167" s="127"/>
      <c r="G167" s="228"/>
      <c r="H167" s="259"/>
    </row>
    <row r="168" spans="1:8" ht="31.5" x14ac:dyDescent="0.25">
      <c r="A168" s="79" t="s">
        <v>149</v>
      </c>
      <c r="B168" s="48" t="s">
        <v>58</v>
      </c>
      <c r="C168" s="5" t="s">
        <v>595</v>
      </c>
      <c r="D168" s="127" t="str">
        <f>VLOOKUP(A168,LUONGNGAY!$A$12:$K$90,11,0)</f>
        <v>KTV1+KS2</v>
      </c>
      <c r="E168" s="227">
        <f>VLOOKUP(A168,LUONGNGAY!$A$11:$O$90,15,0)</f>
        <v>320611</v>
      </c>
      <c r="F168" s="127">
        <v>1.4999999999999999E-2</v>
      </c>
      <c r="G168" s="228">
        <f t="shared" ref="G168:G171" si="10">E168*F168</f>
        <v>4809.165</v>
      </c>
      <c r="H168" s="259" t="s">
        <v>432</v>
      </c>
    </row>
    <row r="169" spans="1:8" ht="31.5" x14ac:dyDescent="0.25">
      <c r="A169" s="79" t="s">
        <v>150</v>
      </c>
      <c r="B169" s="48" t="s">
        <v>59</v>
      </c>
      <c r="C169" s="5" t="s">
        <v>595</v>
      </c>
      <c r="D169" s="127" t="str">
        <f>VLOOKUP(A169,LUONGNGAY!$A$12:$K$90,11,0)</f>
        <v>KS3</v>
      </c>
      <c r="E169" s="227">
        <f>VLOOKUP(A169,LUONGNGAY!$A$11:$O$90,15,0)</f>
        <v>212325</v>
      </c>
      <c r="F169" s="127">
        <v>0.63</v>
      </c>
      <c r="G169" s="228">
        <f t="shared" si="10"/>
        <v>133764.75</v>
      </c>
      <c r="H169" s="259"/>
    </row>
    <row r="170" spans="1:8" ht="51" x14ac:dyDescent="0.25">
      <c r="A170" s="79" t="s">
        <v>151</v>
      </c>
      <c r="B170" s="48" t="s">
        <v>60</v>
      </c>
      <c r="C170" s="127" t="s">
        <v>425</v>
      </c>
      <c r="D170" s="127" t="str">
        <f>LUONGNGAY26[[#Headers],[KS1]]</f>
        <v>KS1</v>
      </c>
      <c r="E170" s="227">
        <f>$E$116</f>
        <v>165614</v>
      </c>
      <c r="F170" s="127">
        <f>$F$116</f>
        <v>0.1</v>
      </c>
      <c r="G170" s="228">
        <f t="shared" si="10"/>
        <v>16561.400000000001</v>
      </c>
      <c r="H170" s="265" t="s">
        <v>299</v>
      </c>
    </row>
    <row r="171" spans="1:8" ht="51" x14ac:dyDescent="0.25">
      <c r="A171" s="79" t="s">
        <v>152</v>
      </c>
      <c r="B171" s="48" t="s">
        <v>61</v>
      </c>
      <c r="C171" s="127" t="s">
        <v>425</v>
      </c>
      <c r="D171" s="127" t="str">
        <f>LUONGNGAY26[[#Headers],[KS1]]</f>
        <v>KS1</v>
      </c>
      <c r="E171" s="227">
        <f>$E$116</f>
        <v>165614</v>
      </c>
      <c r="F171" s="127">
        <f>$F$116</f>
        <v>0.1</v>
      </c>
      <c r="G171" s="228">
        <f t="shared" si="10"/>
        <v>16561.400000000001</v>
      </c>
      <c r="H171" s="265" t="s">
        <v>299</v>
      </c>
    </row>
    <row r="172" spans="1:8" ht="15.75" x14ac:dyDescent="0.25">
      <c r="A172" s="79" t="s">
        <v>153</v>
      </c>
      <c r="B172" s="48" t="s">
        <v>62</v>
      </c>
      <c r="C172" s="127"/>
      <c r="D172" s="127"/>
      <c r="E172" s="227"/>
      <c r="F172" s="127"/>
      <c r="G172" s="228"/>
      <c r="H172" s="266" t="s">
        <v>54</v>
      </c>
    </row>
    <row r="173" spans="1:8" ht="15.75" x14ac:dyDescent="0.25">
      <c r="A173" s="78" t="s">
        <v>160</v>
      </c>
      <c r="B173" s="148" t="s">
        <v>63</v>
      </c>
      <c r="C173" s="127"/>
      <c r="D173" s="127"/>
      <c r="E173" s="227"/>
      <c r="F173" s="127"/>
      <c r="G173" s="228"/>
      <c r="H173" s="259" t="s">
        <v>437</v>
      </c>
    </row>
    <row r="174" spans="1:8" ht="15.75" x14ac:dyDescent="0.25">
      <c r="A174" s="78"/>
      <c r="B174" s="379" t="s">
        <v>614</v>
      </c>
      <c r="C174" s="127"/>
      <c r="D174" s="127"/>
      <c r="E174" s="227"/>
      <c r="F174" s="127"/>
      <c r="G174" s="228"/>
      <c r="H174" s="259"/>
    </row>
    <row r="175" spans="1:8" ht="15.75" x14ac:dyDescent="0.25">
      <c r="A175" s="202" t="s">
        <v>504</v>
      </c>
      <c r="B175" s="278" t="s">
        <v>505</v>
      </c>
      <c r="C175" s="127"/>
      <c r="D175" s="127"/>
      <c r="E175" s="227"/>
      <c r="F175" s="127"/>
      <c r="G175" s="326">
        <f>SUM(G176:G181)</f>
        <v>38885.251199999999</v>
      </c>
      <c r="H175" s="259"/>
    </row>
    <row r="176" spans="1:8" ht="31.5" x14ac:dyDescent="0.25">
      <c r="A176" s="79" t="s">
        <v>154</v>
      </c>
      <c r="B176" s="48" t="s">
        <v>64</v>
      </c>
      <c r="C176" s="127" t="s">
        <v>597</v>
      </c>
      <c r="D176" s="127" t="str">
        <f>VLOOKUP(A176,LUONGNGAY!$A$12:$K$90,11,0)</f>
        <v>KTV1</v>
      </c>
      <c r="E176" s="227">
        <f>VLOOKUP(A176,LUONGNGAY!$A$11:$O$90,15,0)</f>
        <v>131642</v>
      </c>
      <c r="F176" s="127">
        <v>1.15E-2</v>
      </c>
      <c r="G176" s="228">
        <f t="shared" ref="G176:G180" si="11">E176*F176</f>
        <v>1513.883</v>
      </c>
      <c r="H176" s="418"/>
    </row>
    <row r="177" spans="1:8" ht="51.75" customHeight="1" x14ac:dyDescent="0.25">
      <c r="A177" s="79" t="s">
        <v>155</v>
      </c>
      <c r="B177" s="48" t="s">
        <v>65</v>
      </c>
      <c r="C177" s="127" t="s">
        <v>597</v>
      </c>
      <c r="D177" s="127" t="str">
        <f>VLOOKUP(A177,LUONGNGAY!$A$12:$K$90,11,0)</f>
        <v>KTV1</v>
      </c>
      <c r="E177" s="227">
        <f>VLOOKUP(A177,LUONGNGAY!$A$11:$O$90,15,0)</f>
        <v>131642</v>
      </c>
      <c r="F177" s="127">
        <v>1.2E-2</v>
      </c>
      <c r="G177" s="228">
        <f t="shared" si="11"/>
        <v>1579.704</v>
      </c>
      <c r="H177" s="259"/>
    </row>
    <row r="178" spans="1:8" ht="15.75" x14ac:dyDescent="0.25">
      <c r="A178" s="79" t="s">
        <v>156</v>
      </c>
      <c r="B178" s="48" t="s">
        <v>66</v>
      </c>
      <c r="C178" s="127" t="s">
        <v>597</v>
      </c>
      <c r="D178" s="127" t="str">
        <f>VLOOKUP(A178,LUONGNGAY!$A$12:$K$90,11,0)</f>
        <v>KTV1</v>
      </c>
      <c r="E178" s="227">
        <f>VLOOKUP(A178,LUONGNGAY!$A$11:$O$90,15,0)</f>
        <v>131642</v>
      </c>
      <c r="F178" s="127">
        <v>2.4E-2</v>
      </c>
      <c r="G178" s="228">
        <f t="shared" si="11"/>
        <v>3159.4079999999999</v>
      </c>
      <c r="H178" s="259"/>
    </row>
    <row r="179" spans="1:8" ht="15.75" x14ac:dyDescent="0.25">
      <c r="A179" s="79" t="s">
        <v>157</v>
      </c>
      <c r="B179" s="48" t="s">
        <v>67</v>
      </c>
      <c r="C179" s="127" t="s">
        <v>597</v>
      </c>
      <c r="D179" s="127" t="str">
        <f>VLOOKUP(A179,LUONGNGAY!$A$12:$K$90,11,0)</f>
        <v>KS1</v>
      </c>
      <c r="E179" s="227">
        <f>VLOOKUP(A179,LUONGNGAY!$A$11:$O$90,15,0)</f>
        <v>165614</v>
      </c>
      <c r="F179" s="127">
        <v>1.6999999999999999E-3</v>
      </c>
      <c r="G179" s="228">
        <f t="shared" si="11"/>
        <v>281.54379999999998</v>
      </c>
      <c r="H179" s="259"/>
    </row>
    <row r="180" spans="1:8" ht="15.75" x14ac:dyDescent="0.25">
      <c r="A180" s="79" t="s">
        <v>158</v>
      </c>
      <c r="B180" s="48" t="s">
        <v>68</v>
      </c>
      <c r="C180" s="127" t="s">
        <v>597</v>
      </c>
      <c r="D180" s="127" t="str">
        <f>VLOOKUP(A180,LUONGNGAY!$A$12:$K$90,11,0)</f>
        <v>KTV1</v>
      </c>
      <c r="E180" s="227">
        <f>VLOOKUP(A180,LUONGNGAY!$A$11:$O$90,15,0)</f>
        <v>131642</v>
      </c>
      <c r="F180" s="127">
        <v>2.2000000000000001E-3</v>
      </c>
      <c r="G180" s="228">
        <f t="shared" si="11"/>
        <v>289.61240000000004</v>
      </c>
      <c r="H180" s="259"/>
    </row>
    <row r="181" spans="1:8" ht="25.5" x14ac:dyDescent="0.25">
      <c r="A181" s="79" t="s">
        <v>159</v>
      </c>
      <c r="B181" s="48" t="s">
        <v>69</v>
      </c>
      <c r="C181" s="5" t="s">
        <v>590</v>
      </c>
      <c r="D181" s="127" t="str">
        <f>D150</f>
        <v>KTV1+KS2</v>
      </c>
      <c r="E181" s="227"/>
      <c r="F181" s="127"/>
      <c r="G181" s="228">
        <f>$G$150</f>
        <v>32061.100000000002</v>
      </c>
      <c r="H181" s="189" t="s">
        <v>328</v>
      </c>
    </row>
    <row r="182" spans="1:8" ht="15.75" x14ac:dyDescent="0.25">
      <c r="A182" s="202" t="s">
        <v>506</v>
      </c>
      <c r="B182" s="278" t="s">
        <v>507</v>
      </c>
      <c r="C182" s="127"/>
      <c r="D182" s="127"/>
      <c r="E182" s="227"/>
      <c r="F182" s="127"/>
      <c r="G182" s="326">
        <f>SUM(G183:G188)</f>
        <v>37937.428800000002</v>
      </c>
      <c r="H182" s="233" t="s">
        <v>640</v>
      </c>
    </row>
    <row r="183" spans="1:8" ht="31.5" x14ac:dyDescent="0.25">
      <c r="A183" s="79" t="s">
        <v>154</v>
      </c>
      <c r="B183" s="48" t="s">
        <v>64</v>
      </c>
      <c r="C183" s="127" t="s">
        <v>631</v>
      </c>
      <c r="D183" s="127" t="str">
        <f>VLOOKUP(A183,LUONGNGAY!$A$12:$K$90,11,0)</f>
        <v>KTV1</v>
      </c>
      <c r="E183" s="227"/>
      <c r="F183" s="127"/>
      <c r="G183" s="228">
        <f>$G$176</f>
        <v>1513.883</v>
      </c>
      <c r="H183" s="259"/>
    </row>
    <row r="184" spans="1:8" ht="15.75" x14ac:dyDescent="0.25">
      <c r="A184" s="79" t="s">
        <v>155</v>
      </c>
      <c r="B184" s="48" t="s">
        <v>65</v>
      </c>
      <c r="C184" s="127" t="s">
        <v>631</v>
      </c>
      <c r="D184" s="127" t="str">
        <f>VLOOKUP(A184,LUONGNGAY!$A$12:$K$90,11,0)</f>
        <v>KTV1</v>
      </c>
      <c r="E184" s="227"/>
      <c r="F184" s="127"/>
      <c r="G184" s="417">
        <f>G177*0.8</f>
        <v>1263.7632000000001</v>
      </c>
      <c r="H184" s="259"/>
    </row>
    <row r="185" spans="1:8" ht="15.75" x14ac:dyDescent="0.25">
      <c r="A185" s="79" t="s">
        <v>156</v>
      </c>
      <c r="B185" s="48" t="s">
        <v>66</v>
      </c>
      <c r="C185" s="127" t="s">
        <v>631</v>
      </c>
      <c r="D185" s="127" t="str">
        <f>VLOOKUP(A185,LUONGNGAY!$A$12:$K$90,11,0)</f>
        <v>KTV1</v>
      </c>
      <c r="E185" s="227"/>
      <c r="F185" s="127"/>
      <c r="G185" s="417">
        <f t="shared" ref="G185" si="12">G178*0.8</f>
        <v>2527.5264000000002</v>
      </c>
      <c r="H185" s="259"/>
    </row>
    <row r="186" spans="1:8" ht="15.75" x14ac:dyDescent="0.25">
      <c r="A186" s="79" t="s">
        <v>157</v>
      </c>
      <c r="B186" s="48" t="s">
        <v>67</v>
      </c>
      <c r="C186" s="127" t="s">
        <v>631</v>
      </c>
      <c r="D186" s="127" t="str">
        <f>VLOOKUP(A186,LUONGNGAY!$A$12:$K$90,11,0)</f>
        <v>KS1</v>
      </c>
      <c r="E186" s="227"/>
      <c r="F186" s="127"/>
      <c r="G186" s="228">
        <f>$G$179</f>
        <v>281.54379999999998</v>
      </c>
      <c r="H186" s="259"/>
    </row>
    <row r="187" spans="1:8" ht="15.75" x14ac:dyDescent="0.25">
      <c r="A187" s="79" t="s">
        <v>158</v>
      </c>
      <c r="B187" s="48" t="s">
        <v>68</v>
      </c>
      <c r="C187" s="127" t="s">
        <v>631</v>
      </c>
      <c r="D187" s="127" t="str">
        <f>VLOOKUP(A187,LUONGNGAY!$A$12:$K$90,11,0)</f>
        <v>KTV1</v>
      </c>
      <c r="E187" s="227"/>
      <c r="F187" s="127"/>
      <c r="G187" s="228">
        <f>$G$180</f>
        <v>289.61240000000004</v>
      </c>
      <c r="H187" s="259"/>
    </row>
    <row r="188" spans="1:8" ht="25.5" x14ac:dyDescent="0.25">
      <c r="A188" s="79" t="s">
        <v>159</v>
      </c>
      <c r="B188" s="48" t="s">
        <v>69</v>
      </c>
      <c r="C188" s="5" t="s">
        <v>590</v>
      </c>
      <c r="D188" s="127">
        <f>D157</f>
        <v>0</v>
      </c>
      <c r="E188" s="227"/>
      <c r="F188" s="127"/>
      <c r="G188" s="228">
        <f>$G$150</f>
        <v>32061.100000000002</v>
      </c>
      <c r="H188" s="189" t="s">
        <v>328</v>
      </c>
    </row>
    <row r="189" spans="1:8" ht="15.75" x14ac:dyDescent="0.25">
      <c r="A189" s="202" t="s">
        <v>509</v>
      </c>
      <c r="B189" s="278" t="s">
        <v>510</v>
      </c>
      <c r="C189" s="127"/>
      <c r="D189" s="127"/>
      <c r="E189" s="227"/>
      <c r="F189" s="127"/>
      <c r="G189" s="326">
        <f>SUM(G190:G195)</f>
        <v>41254.807200000003</v>
      </c>
      <c r="H189" s="233" t="s">
        <v>639</v>
      </c>
    </row>
    <row r="190" spans="1:8" ht="31.5" x14ac:dyDescent="0.25">
      <c r="A190" s="79" t="s">
        <v>154</v>
      </c>
      <c r="B190" s="48" t="s">
        <v>64</v>
      </c>
      <c r="C190" s="127" t="s">
        <v>632</v>
      </c>
      <c r="D190" s="127" t="str">
        <f>VLOOKUP(A190,LUONGNGAY!$A$12:$K$90,11,0)</f>
        <v>KTV1</v>
      </c>
      <c r="E190" s="227"/>
      <c r="F190" s="127"/>
      <c r="G190" s="228">
        <f>$G$176</f>
        <v>1513.883</v>
      </c>
      <c r="H190" s="259"/>
    </row>
    <row r="191" spans="1:8" ht="15.75" x14ac:dyDescent="0.25">
      <c r="A191" s="79" t="s">
        <v>155</v>
      </c>
      <c r="B191" s="48" t="s">
        <v>65</v>
      </c>
      <c r="C191" s="127" t="s">
        <v>632</v>
      </c>
      <c r="D191" s="127" t="str">
        <f>VLOOKUP(A191,LUONGNGAY!$A$12:$K$90,11,0)</f>
        <v>KTV1</v>
      </c>
      <c r="E191" s="227"/>
      <c r="F191" s="127"/>
      <c r="G191" s="417">
        <f t="shared" ref="G191:G192" si="13">G177*1.5</f>
        <v>2369.556</v>
      </c>
      <c r="H191" s="259"/>
    </row>
    <row r="192" spans="1:8" ht="15.75" x14ac:dyDescent="0.25">
      <c r="A192" s="79" t="s">
        <v>156</v>
      </c>
      <c r="B192" s="48" t="s">
        <v>66</v>
      </c>
      <c r="C192" s="127" t="s">
        <v>632</v>
      </c>
      <c r="D192" s="127" t="str">
        <f>VLOOKUP(A192,LUONGNGAY!$A$12:$K$90,11,0)</f>
        <v>KTV1</v>
      </c>
      <c r="E192" s="227"/>
      <c r="F192" s="127"/>
      <c r="G192" s="417">
        <f t="shared" si="13"/>
        <v>4739.1120000000001</v>
      </c>
      <c r="H192" s="259"/>
    </row>
    <row r="193" spans="1:8" ht="15.75" x14ac:dyDescent="0.25">
      <c r="A193" s="79" t="s">
        <v>157</v>
      </c>
      <c r="B193" s="48" t="s">
        <v>67</v>
      </c>
      <c r="C193" s="127" t="s">
        <v>632</v>
      </c>
      <c r="D193" s="127" t="str">
        <f>VLOOKUP(A193,LUONGNGAY!$A$12:$K$90,11,0)</f>
        <v>KS1</v>
      </c>
      <c r="E193" s="227"/>
      <c r="F193" s="127"/>
      <c r="G193" s="228">
        <f>$G$179</f>
        <v>281.54379999999998</v>
      </c>
      <c r="H193" s="259"/>
    </row>
    <row r="194" spans="1:8" ht="15.75" x14ac:dyDescent="0.25">
      <c r="A194" s="79" t="s">
        <v>158</v>
      </c>
      <c r="B194" s="48" t="s">
        <v>68</v>
      </c>
      <c r="C194" s="127" t="s">
        <v>632</v>
      </c>
      <c r="D194" s="127" t="str">
        <f>VLOOKUP(A194,LUONGNGAY!$A$12:$K$90,11,0)</f>
        <v>KTV1</v>
      </c>
      <c r="E194" s="227"/>
      <c r="F194" s="127"/>
      <c r="G194" s="228">
        <f>$G$180</f>
        <v>289.61240000000004</v>
      </c>
      <c r="H194" s="259"/>
    </row>
    <row r="195" spans="1:8" ht="25.5" x14ac:dyDescent="0.25">
      <c r="A195" s="79" t="s">
        <v>159</v>
      </c>
      <c r="B195" s="48" t="s">
        <v>69</v>
      </c>
      <c r="C195" s="5" t="s">
        <v>590</v>
      </c>
      <c r="D195" s="127">
        <f>D164</f>
        <v>0</v>
      </c>
      <c r="E195" s="227"/>
      <c r="F195" s="127"/>
      <c r="G195" s="228">
        <f>$G$150</f>
        <v>32061.100000000002</v>
      </c>
      <c r="H195" s="189" t="s">
        <v>328</v>
      </c>
    </row>
    <row r="196" spans="1:8" ht="15.75" x14ac:dyDescent="0.25">
      <c r="A196" s="202" t="s">
        <v>512</v>
      </c>
      <c r="B196" s="278" t="s">
        <v>513</v>
      </c>
      <c r="C196" s="127"/>
      <c r="D196" s="127"/>
      <c r="E196" s="227"/>
      <c r="F196" s="127"/>
      <c r="G196" s="326">
        <f>SUM(G197:G202)</f>
        <v>45993.919200000004</v>
      </c>
      <c r="H196" s="233" t="s">
        <v>638</v>
      </c>
    </row>
    <row r="197" spans="1:8" ht="31.5" x14ac:dyDescent="0.25">
      <c r="A197" s="79" t="s">
        <v>154</v>
      </c>
      <c r="B197" s="48" t="s">
        <v>64</v>
      </c>
      <c r="C197" s="127" t="s">
        <v>633</v>
      </c>
      <c r="D197" s="127" t="str">
        <f>VLOOKUP(A197,LUONGNGAY!$A$12:$K$90,11,0)</f>
        <v>KTV1</v>
      </c>
      <c r="E197" s="227"/>
      <c r="F197" s="127"/>
      <c r="G197" s="228">
        <f>$G$176</f>
        <v>1513.883</v>
      </c>
      <c r="H197" s="259"/>
    </row>
    <row r="198" spans="1:8" ht="15.75" x14ac:dyDescent="0.25">
      <c r="A198" s="79" t="s">
        <v>155</v>
      </c>
      <c r="B198" s="48" t="s">
        <v>65</v>
      </c>
      <c r="C198" s="127" t="s">
        <v>633</v>
      </c>
      <c r="D198" s="127" t="str">
        <f>VLOOKUP(A198,LUONGNGAY!$A$12:$K$90,11,0)</f>
        <v>KTV1</v>
      </c>
      <c r="E198" s="227"/>
      <c r="F198" s="127"/>
      <c r="G198" s="417">
        <f t="shared" ref="G198:G199" si="14">G177*2.5</f>
        <v>3949.2599999999998</v>
      </c>
      <c r="H198" s="259"/>
    </row>
    <row r="199" spans="1:8" ht="15.75" x14ac:dyDescent="0.25">
      <c r="A199" s="79" t="s">
        <v>156</v>
      </c>
      <c r="B199" s="48" t="s">
        <v>66</v>
      </c>
      <c r="C199" s="127" t="s">
        <v>633</v>
      </c>
      <c r="D199" s="127" t="str">
        <f>VLOOKUP(A199,LUONGNGAY!$A$12:$K$90,11,0)</f>
        <v>KTV1</v>
      </c>
      <c r="E199" s="227"/>
      <c r="F199" s="127"/>
      <c r="G199" s="417">
        <f t="shared" si="14"/>
        <v>7898.5199999999995</v>
      </c>
      <c r="H199" s="259"/>
    </row>
    <row r="200" spans="1:8" ht="15.75" x14ac:dyDescent="0.25">
      <c r="A200" s="79" t="s">
        <v>157</v>
      </c>
      <c r="B200" s="48" t="s">
        <v>67</v>
      </c>
      <c r="C200" s="127" t="s">
        <v>633</v>
      </c>
      <c r="D200" s="127" t="str">
        <f>VLOOKUP(A200,LUONGNGAY!$A$12:$K$90,11,0)</f>
        <v>KS1</v>
      </c>
      <c r="E200" s="227"/>
      <c r="F200" s="127"/>
      <c r="G200" s="228">
        <f>$G$179</f>
        <v>281.54379999999998</v>
      </c>
      <c r="H200" s="259"/>
    </row>
    <row r="201" spans="1:8" ht="15.75" x14ac:dyDescent="0.25">
      <c r="A201" s="79" t="s">
        <v>158</v>
      </c>
      <c r="B201" s="48" t="s">
        <v>68</v>
      </c>
      <c r="C201" s="127" t="s">
        <v>633</v>
      </c>
      <c r="D201" s="127" t="str">
        <f>VLOOKUP(A201,LUONGNGAY!$A$12:$K$90,11,0)</f>
        <v>KTV1</v>
      </c>
      <c r="E201" s="227"/>
      <c r="F201" s="127"/>
      <c r="G201" s="228">
        <f>$G$180</f>
        <v>289.61240000000004</v>
      </c>
      <c r="H201" s="259"/>
    </row>
    <row r="202" spans="1:8" ht="25.5" x14ac:dyDescent="0.25">
      <c r="A202" s="79" t="s">
        <v>159</v>
      </c>
      <c r="B202" s="48" t="s">
        <v>69</v>
      </c>
      <c r="C202" s="5" t="s">
        <v>590</v>
      </c>
      <c r="D202" s="127" t="str">
        <f>D171</f>
        <v>KS1</v>
      </c>
      <c r="E202" s="227"/>
      <c r="F202" s="127"/>
      <c r="G202" s="228">
        <f>$G$150</f>
        <v>32061.100000000002</v>
      </c>
      <c r="H202" s="189" t="s">
        <v>328</v>
      </c>
    </row>
    <row r="203" spans="1:8" ht="15.75" x14ac:dyDescent="0.25">
      <c r="A203" s="202" t="s">
        <v>515</v>
      </c>
      <c r="B203" s="278" t="s">
        <v>516</v>
      </c>
      <c r="C203" s="127"/>
      <c r="D203" s="127"/>
      <c r="E203" s="227"/>
      <c r="F203" s="127"/>
      <c r="G203" s="326">
        <f>SUM(G204:G209)</f>
        <v>57841.699200000003</v>
      </c>
      <c r="H203" s="233" t="s">
        <v>637</v>
      </c>
    </row>
    <row r="204" spans="1:8" ht="31.5" x14ac:dyDescent="0.25">
      <c r="A204" s="79" t="s">
        <v>154</v>
      </c>
      <c r="B204" s="48" t="s">
        <v>64</v>
      </c>
      <c r="C204" s="127" t="s">
        <v>634</v>
      </c>
      <c r="D204" s="127" t="str">
        <f>VLOOKUP(A204,LUONGNGAY!$A$12:$K$90,11,0)</f>
        <v>KTV1</v>
      </c>
      <c r="E204" s="227"/>
      <c r="F204" s="127"/>
      <c r="G204" s="228">
        <f>$G$176</f>
        <v>1513.883</v>
      </c>
      <c r="H204" s="259"/>
    </row>
    <row r="205" spans="1:8" ht="15.75" x14ac:dyDescent="0.25">
      <c r="A205" s="79" t="s">
        <v>155</v>
      </c>
      <c r="B205" s="48" t="s">
        <v>65</v>
      </c>
      <c r="C205" s="127" t="s">
        <v>634</v>
      </c>
      <c r="D205" s="127" t="str">
        <f>VLOOKUP(A205,LUONGNGAY!$A$12:$K$90,11,0)</f>
        <v>KTV1</v>
      </c>
      <c r="E205" s="227"/>
      <c r="F205" s="127"/>
      <c r="G205" s="417">
        <f t="shared" ref="G205:G206" si="15">G177*5</f>
        <v>7898.5199999999995</v>
      </c>
      <c r="H205" s="259"/>
    </row>
    <row r="206" spans="1:8" ht="15.75" x14ac:dyDescent="0.25">
      <c r="A206" s="79" t="s">
        <v>156</v>
      </c>
      <c r="B206" s="48" t="s">
        <v>66</v>
      </c>
      <c r="C206" s="127" t="s">
        <v>634</v>
      </c>
      <c r="D206" s="127" t="str">
        <f>VLOOKUP(A206,LUONGNGAY!$A$12:$K$90,11,0)</f>
        <v>KTV1</v>
      </c>
      <c r="E206" s="227"/>
      <c r="F206" s="127"/>
      <c r="G206" s="417">
        <f t="shared" si="15"/>
        <v>15797.039999999999</v>
      </c>
      <c r="H206" s="259"/>
    </row>
    <row r="207" spans="1:8" ht="15.75" x14ac:dyDescent="0.25">
      <c r="A207" s="79" t="s">
        <v>157</v>
      </c>
      <c r="B207" s="48" t="s">
        <v>67</v>
      </c>
      <c r="C207" s="127" t="s">
        <v>634</v>
      </c>
      <c r="D207" s="127" t="str">
        <f>VLOOKUP(A207,LUONGNGAY!$A$12:$K$90,11,0)</f>
        <v>KS1</v>
      </c>
      <c r="E207" s="227"/>
      <c r="F207" s="127"/>
      <c r="G207" s="228">
        <f>$G$179</f>
        <v>281.54379999999998</v>
      </c>
      <c r="H207" s="259"/>
    </row>
    <row r="208" spans="1:8" ht="15.75" x14ac:dyDescent="0.25">
      <c r="A208" s="79" t="s">
        <v>158</v>
      </c>
      <c r="B208" s="48" t="s">
        <v>68</v>
      </c>
      <c r="C208" s="127" t="s">
        <v>634</v>
      </c>
      <c r="D208" s="127" t="str">
        <f>VLOOKUP(A208,LUONGNGAY!$A$12:$K$90,11,0)</f>
        <v>KTV1</v>
      </c>
      <c r="E208" s="227"/>
      <c r="F208" s="127"/>
      <c r="G208" s="228">
        <f>$G$180</f>
        <v>289.61240000000004</v>
      </c>
      <c r="H208" s="259"/>
    </row>
    <row r="209" spans="1:8" ht="25.5" x14ac:dyDescent="0.25">
      <c r="A209" s="79" t="s">
        <v>159</v>
      </c>
      <c r="B209" s="48" t="s">
        <v>69</v>
      </c>
      <c r="C209" s="5" t="s">
        <v>590</v>
      </c>
      <c r="D209" s="127" t="str">
        <f>D178</f>
        <v>KTV1</v>
      </c>
      <c r="E209" s="227"/>
      <c r="F209" s="127"/>
      <c r="G209" s="228">
        <f>$G$150</f>
        <v>32061.100000000002</v>
      </c>
      <c r="H209" s="189" t="s">
        <v>328</v>
      </c>
    </row>
    <row r="210" spans="1:8" ht="15.75" x14ac:dyDescent="0.25">
      <c r="A210" s="202" t="s">
        <v>518</v>
      </c>
      <c r="B210" s="278" t="s">
        <v>519</v>
      </c>
      <c r="C210" s="127"/>
      <c r="D210" s="127"/>
      <c r="E210" s="227"/>
      <c r="F210" s="127"/>
      <c r="G210" s="326">
        <f>SUM(G211:G216)</f>
        <v>81537.2592</v>
      </c>
      <c r="H210" s="233" t="s">
        <v>636</v>
      </c>
    </row>
    <row r="211" spans="1:8" ht="31.5" x14ac:dyDescent="0.25">
      <c r="A211" s="79" t="s">
        <v>154</v>
      </c>
      <c r="B211" s="48" t="s">
        <v>64</v>
      </c>
      <c r="C211" s="127" t="s">
        <v>635</v>
      </c>
      <c r="D211" s="127" t="str">
        <f>VLOOKUP(A211,LUONGNGAY!$A$12:$K$90,11,0)</f>
        <v>KTV1</v>
      </c>
      <c r="E211" s="227"/>
      <c r="F211" s="127"/>
      <c r="G211" s="228">
        <f>$G$176</f>
        <v>1513.883</v>
      </c>
      <c r="H211" s="259"/>
    </row>
    <row r="212" spans="1:8" ht="15.75" x14ac:dyDescent="0.25">
      <c r="A212" s="79" t="s">
        <v>155</v>
      </c>
      <c r="B212" s="48" t="s">
        <v>65</v>
      </c>
      <c r="C212" s="127" t="s">
        <v>635</v>
      </c>
      <c r="D212" s="127" t="str">
        <f>VLOOKUP(A212,LUONGNGAY!$A$12:$K$90,11,0)</f>
        <v>KTV1</v>
      </c>
      <c r="E212" s="227"/>
      <c r="F212" s="127"/>
      <c r="G212" s="417">
        <f t="shared" ref="G212:G213" si="16">G177*10</f>
        <v>15797.039999999999</v>
      </c>
      <c r="H212" s="259"/>
    </row>
    <row r="213" spans="1:8" ht="15.75" x14ac:dyDescent="0.25">
      <c r="A213" s="79" t="s">
        <v>156</v>
      </c>
      <c r="B213" s="48" t="s">
        <v>66</v>
      </c>
      <c r="C213" s="127" t="s">
        <v>635</v>
      </c>
      <c r="D213" s="127" t="str">
        <f>VLOOKUP(A213,LUONGNGAY!$A$12:$K$90,11,0)</f>
        <v>KTV1</v>
      </c>
      <c r="E213" s="227"/>
      <c r="F213" s="127"/>
      <c r="G213" s="417">
        <f t="shared" si="16"/>
        <v>31594.079999999998</v>
      </c>
      <c r="H213" s="259"/>
    </row>
    <row r="214" spans="1:8" ht="15.75" x14ac:dyDescent="0.25">
      <c r="A214" s="79" t="s">
        <v>157</v>
      </c>
      <c r="B214" s="48" t="s">
        <v>67</v>
      </c>
      <c r="C214" s="127" t="s">
        <v>635</v>
      </c>
      <c r="D214" s="127" t="str">
        <f>VLOOKUP(A214,LUONGNGAY!$A$12:$K$90,11,0)</f>
        <v>KS1</v>
      </c>
      <c r="E214" s="227"/>
      <c r="F214" s="127"/>
      <c r="G214" s="228">
        <f>$G$179</f>
        <v>281.54379999999998</v>
      </c>
      <c r="H214" s="259"/>
    </row>
    <row r="215" spans="1:8" ht="15.75" x14ac:dyDescent="0.25">
      <c r="A215" s="79" t="s">
        <v>158</v>
      </c>
      <c r="B215" s="48" t="s">
        <v>68</v>
      </c>
      <c r="C215" s="127" t="s">
        <v>635</v>
      </c>
      <c r="D215" s="127" t="str">
        <f>VLOOKUP(A215,LUONGNGAY!$A$12:$K$90,11,0)</f>
        <v>KTV1</v>
      </c>
      <c r="E215" s="227"/>
      <c r="F215" s="127"/>
      <c r="G215" s="228">
        <f>$G$180</f>
        <v>289.61240000000004</v>
      </c>
      <c r="H215" s="259"/>
    </row>
    <row r="216" spans="1:8" ht="25.5" x14ac:dyDescent="0.25">
      <c r="A216" s="79" t="s">
        <v>159</v>
      </c>
      <c r="B216" s="48" t="s">
        <v>69</v>
      </c>
      <c r="C216" s="5" t="s">
        <v>590</v>
      </c>
      <c r="D216" s="127" t="str">
        <f>D185</f>
        <v>KTV1</v>
      </c>
      <c r="E216" s="227"/>
      <c r="F216" s="127"/>
      <c r="G216" s="228">
        <f>$G$150</f>
        <v>32061.100000000002</v>
      </c>
      <c r="H216" s="189" t="s">
        <v>328</v>
      </c>
    </row>
    <row r="217" spans="1:8" ht="15.75" x14ac:dyDescent="0.25">
      <c r="A217" s="78"/>
      <c r="B217" s="379" t="s">
        <v>615</v>
      </c>
      <c r="C217" s="127"/>
      <c r="D217" s="127"/>
      <c r="E217" s="227"/>
      <c r="F217" s="127"/>
      <c r="G217" s="228"/>
      <c r="H217" s="390" t="s">
        <v>641</v>
      </c>
    </row>
    <row r="218" spans="1:8" ht="15.75" x14ac:dyDescent="0.25">
      <c r="A218" s="202" t="s">
        <v>504</v>
      </c>
      <c r="B218" s="278" t="s">
        <v>505</v>
      </c>
      <c r="C218" s="127"/>
      <c r="D218" s="127"/>
      <c r="E218" s="227"/>
      <c r="F218" s="127"/>
      <c r="G218" s="326">
        <f>SUM(G219:G224)</f>
        <v>43624.3632</v>
      </c>
      <c r="H218" s="259"/>
    </row>
    <row r="219" spans="1:8" ht="31.5" x14ac:dyDescent="0.25">
      <c r="A219" s="79" t="s">
        <v>154</v>
      </c>
      <c r="B219" s="48" t="s">
        <v>64</v>
      </c>
      <c r="C219" s="127" t="s">
        <v>597</v>
      </c>
      <c r="D219" s="127" t="str">
        <f>VLOOKUP(A219,LUONGNGAY!$A$12:$K$90,11,0)</f>
        <v>KTV1</v>
      </c>
      <c r="E219" s="227"/>
      <c r="F219" s="127"/>
      <c r="G219" s="228">
        <f>G176</f>
        <v>1513.883</v>
      </c>
      <c r="H219" s="418"/>
    </row>
    <row r="220" spans="1:8" ht="15.75" x14ac:dyDescent="0.25">
      <c r="A220" s="79" t="s">
        <v>155</v>
      </c>
      <c r="B220" s="48" t="s">
        <v>65</v>
      </c>
      <c r="C220" s="127" t="s">
        <v>597</v>
      </c>
      <c r="D220" s="127" t="str">
        <f>VLOOKUP(A220,LUONGNGAY!$A$12:$K$90,11,0)</f>
        <v>KTV1</v>
      </c>
      <c r="E220" s="227"/>
      <c r="F220" s="127"/>
      <c r="G220" s="417">
        <f>G177*2</f>
        <v>3159.4079999999999</v>
      </c>
      <c r="H220" s="259"/>
    </row>
    <row r="221" spans="1:8" ht="15.75" x14ac:dyDescent="0.25">
      <c r="A221" s="79" t="s">
        <v>156</v>
      </c>
      <c r="B221" s="48" t="s">
        <v>66</v>
      </c>
      <c r="C221" s="127" t="s">
        <v>597</v>
      </c>
      <c r="D221" s="127" t="str">
        <f>VLOOKUP(A221,LUONGNGAY!$A$12:$K$90,11,0)</f>
        <v>KTV1</v>
      </c>
      <c r="E221" s="227"/>
      <c r="F221" s="127"/>
      <c r="G221" s="417">
        <f>G178*2</f>
        <v>6318.8159999999998</v>
      </c>
      <c r="H221" s="259"/>
    </row>
    <row r="222" spans="1:8" ht="15.75" x14ac:dyDescent="0.25">
      <c r="A222" s="79" t="s">
        <v>157</v>
      </c>
      <c r="B222" s="48" t="s">
        <v>67</v>
      </c>
      <c r="C222" s="127" t="s">
        <v>597</v>
      </c>
      <c r="D222" s="127" t="str">
        <f>VLOOKUP(A222,LUONGNGAY!$A$12:$K$90,11,0)</f>
        <v>KS1</v>
      </c>
      <c r="E222" s="227"/>
      <c r="F222" s="127"/>
      <c r="G222" s="228">
        <f>G179</f>
        <v>281.54379999999998</v>
      </c>
      <c r="H222" s="259"/>
    </row>
    <row r="223" spans="1:8" ht="15.75" x14ac:dyDescent="0.25">
      <c r="A223" s="79" t="s">
        <v>158</v>
      </c>
      <c r="B223" s="48" t="s">
        <v>68</v>
      </c>
      <c r="C223" s="127" t="s">
        <v>597</v>
      </c>
      <c r="D223" s="127" t="str">
        <f>VLOOKUP(A223,LUONGNGAY!$A$12:$K$90,11,0)</f>
        <v>KTV1</v>
      </c>
      <c r="E223" s="227"/>
      <c r="F223" s="127"/>
      <c r="G223" s="228">
        <f>G180</f>
        <v>289.61240000000004</v>
      </c>
      <c r="H223" s="259"/>
    </row>
    <row r="224" spans="1:8" ht="25.5" x14ac:dyDescent="0.25">
      <c r="A224" s="79" t="s">
        <v>159</v>
      </c>
      <c r="B224" s="48" t="s">
        <v>69</v>
      </c>
      <c r="C224" s="5" t="s">
        <v>590</v>
      </c>
      <c r="D224" s="127" t="str">
        <f>D193</f>
        <v>KS1</v>
      </c>
      <c r="E224" s="227"/>
      <c r="F224" s="127"/>
      <c r="G224" s="228">
        <f>$G$150</f>
        <v>32061.100000000002</v>
      </c>
      <c r="H224" s="189" t="s">
        <v>328</v>
      </c>
    </row>
    <row r="225" spans="1:8" ht="15.75" x14ac:dyDescent="0.25">
      <c r="A225" s="202" t="s">
        <v>506</v>
      </c>
      <c r="B225" s="278" t="s">
        <v>507</v>
      </c>
      <c r="C225" s="127"/>
      <c r="D225" s="127"/>
      <c r="E225" s="227"/>
      <c r="F225" s="127"/>
      <c r="G225" s="326">
        <f>SUM(G226:G231)</f>
        <v>41728.718400000005</v>
      </c>
      <c r="H225" s="233" t="s">
        <v>640</v>
      </c>
    </row>
    <row r="226" spans="1:8" ht="31.5" x14ac:dyDescent="0.25">
      <c r="A226" s="79" t="s">
        <v>154</v>
      </c>
      <c r="B226" s="48" t="s">
        <v>64</v>
      </c>
      <c r="C226" s="127" t="s">
        <v>631</v>
      </c>
      <c r="D226" s="127" t="str">
        <f>VLOOKUP(A226,LUONGNGAY!$A$12:$K$90,11,0)</f>
        <v>KTV1</v>
      </c>
      <c r="E226" s="227"/>
      <c r="F226" s="127"/>
      <c r="G226" s="228">
        <f>G183</f>
        <v>1513.883</v>
      </c>
      <c r="H226" s="259"/>
    </row>
    <row r="227" spans="1:8" ht="15.75" x14ac:dyDescent="0.25">
      <c r="A227" s="79" t="s">
        <v>155</v>
      </c>
      <c r="B227" s="48" t="s">
        <v>65</v>
      </c>
      <c r="C227" s="127" t="s">
        <v>631</v>
      </c>
      <c r="D227" s="127" t="str">
        <f>VLOOKUP(A227,LUONGNGAY!$A$12:$K$90,11,0)</f>
        <v>KTV1</v>
      </c>
      <c r="E227" s="227"/>
      <c r="F227" s="127"/>
      <c r="G227" s="417">
        <f>G184*2</f>
        <v>2527.5264000000002</v>
      </c>
      <c r="H227" s="259"/>
    </row>
    <row r="228" spans="1:8" ht="15.75" x14ac:dyDescent="0.25">
      <c r="A228" s="79" t="s">
        <v>156</v>
      </c>
      <c r="B228" s="48" t="s">
        <v>66</v>
      </c>
      <c r="C228" s="127" t="s">
        <v>631</v>
      </c>
      <c r="D228" s="127" t="str">
        <f>VLOOKUP(A228,LUONGNGAY!$A$12:$K$90,11,0)</f>
        <v>KTV1</v>
      </c>
      <c r="E228" s="227"/>
      <c r="F228" s="127"/>
      <c r="G228" s="417">
        <f>G185*2</f>
        <v>5055.0528000000004</v>
      </c>
      <c r="H228" s="259"/>
    </row>
    <row r="229" spans="1:8" ht="15.75" x14ac:dyDescent="0.25">
      <c r="A229" s="79" t="s">
        <v>157</v>
      </c>
      <c r="B229" s="48" t="s">
        <v>67</v>
      </c>
      <c r="C229" s="127" t="s">
        <v>631</v>
      </c>
      <c r="D229" s="127" t="str">
        <f>VLOOKUP(A229,LUONGNGAY!$A$12:$K$90,11,0)</f>
        <v>KS1</v>
      </c>
      <c r="E229" s="227"/>
      <c r="F229" s="127"/>
      <c r="G229" s="228">
        <f>G186</f>
        <v>281.54379999999998</v>
      </c>
      <c r="H229" s="259"/>
    </row>
    <row r="230" spans="1:8" ht="15.75" x14ac:dyDescent="0.25">
      <c r="A230" s="79" t="s">
        <v>158</v>
      </c>
      <c r="B230" s="48" t="s">
        <v>68</v>
      </c>
      <c r="C230" s="127" t="s">
        <v>631</v>
      </c>
      <c r="D230" s="127" t="str">
        <f>VLOOKUP(A230,LUONGNGAY!$A$12:$K$90,11,0)</f>
        <v>KTV1</v>
      </c>
      <c r="E230" s="227"/>
      <c r="F230" s="127"/>
      <c r="G230" s="228">
        <f>G187</f>
        <v>289.61240000000004</v>
      </c>
      <c r="H230" s="259"/>
    </row>
    <row r="231" spans="1:8" ht="25.5" x14ac:dyDescent="0.25">
      <c r="A231" s="79" t="s">
        <v>159</v>
      </c>
      <c r="B231" s="48" t="s">
        <v>69</v>
      </c>
      <c r="C231" s="5" t="s">
        <v>590</v>
      </c>
      <c r="D231" s="127" t="str">
        <f>D200</f>
        <v>KS1</v>
      </c>
      <c r="E231" s="227"/>
      <c r="F231" s="127"/>
      <c r="G231" s="228">
        <f>$G$150</f>
        <v>32061.100000000002</v>
      </c>
      <c r="H231" s="189" t="s">
        <v>328</v>
      </c>
    </row>
    <row r="232" spans="1:8" ht="15.75" x14ac:dyDescent="0.25">
      <c r="A232" s="202" t="s">
        <v>509</v>
      </c>
      <c r="B232" s="278" t="s">
        <v>510</v>
      </c>
      <c r="C232" s="127"/>
      <c r="D232" s="127"/>
      <c r="E232" s="227"/>
      <c r="F232" s="127"/>
      <c r="G232" s="326">
        <f>SUM(G233:G238)</f>
        <v>48363.475200000001</v>
      </c>
      <c r="H232" s="233" t="s">
        <v>639</v>
      </c>
    </row>
    <row r="233" spans="1:8" ht="31.5" x14ac:dyDescent="0.25">
      <c r="A233" s="79" t="s">
        <v>154</v>
      </c>
      <c r="B233" s="48" t="s">
        <v>64</v>
      </c>
      <c r="C233" s="127" t="s">
        <v>632</v>
      </c>
      <c r="D233" s="127" t="str">
        <f>VLOOKUP(A233,LUONGNGAY!$A$12:$K$90,11,0)</f>
        <v>KTV1</v>
      </c>
      <c r="E233" s="227"/>
      <c r="F233" s="127"/>
      <c r="G233" s="228">
        <f>G190</f>
        <v>1513.883</v>
      </c>
      <c r="H233" s="259"/>
    </row>
    <row r="234" spans="1:8" ht="15.75" x14ac:dyDescent="0.25">
      <c r="A234" s="79" t="s">
        <v>155</v>
      </c>
      <c r="B234" s="48" t="s">
        <v>65</v>
      </c>
      <c r="C234" s="127" t="s">
        <v>632</v>
      </c>
      <c r="D234" s="127" t="str">
        <f>VLOOKUP(A234,LUONGNGAY!$A$12:$K$90,11,0)</f>
        <v>KTV1</v>
      </c>
      <c r="E234" s="227"/>
      <c r="F234" s="127"/>
      <c r="G234" s="417">
        <f>G191*2</f>
        <v>4739.1120000000001</v>
      </c>
      <c r="H234" s="259"/>
    </row>
    <row r="235" spans="1:8" ht="15.75" x14ac:dyDescent="0.25">
      <c r="A235" s="79" t="s">
        <v>156</v>
      </c>
      <c r="B235" s="48" t="s">
        <v>66</v>
      </c>
      <c r="C235" s="127" t="s">
        <v>632</v>
      </c>
      <c r="D235" s="127" t="str">
        <f>VLOOKUP(A235,LUONGNGAY!$A$12:$K$90,11,0)</f>
        <v>KTV1</v>
      </c>
      <c r="E235" s="227"/>
      <c r="F235" s="127"/>
      <c r="G235" s="417">
        <f>G192*2</f>
        <v>9478.2240000000002</v>
      </c>
      <c r="H235" s="259"/>
    </row>
    <row r="236" spans="1:8" ht="15.75" x14ac:dyDescent="0.25">
      <c r="A236" s="79" t="s">
        <v>157</v>
      </c>
      <c r="B236" s="48" t="s">
        <v>67</v>
      </c>
      <c r="C236" s="127" t="s">
        <v>632</v>
      </c>
      <c r="D236" s="127" t="str">
        <f>VLOOKUP(A236,LUONGNGAY!$A$12:$K$90,11,0)</f>
        <v>KS1</v>
      </c>
      <c r="E236" s="227"/>
      <c r="F236" s="127"/>
      <c r="G236" s="228">
        <f>G193</f>
        <v>281.54379999999998</v>
      </c>
      <c r="H236" s="259"/>
    </row>
    <row r="237" spans="1:8" ht="15.75" x14ac:dyDescent="0.25">
      <c r="A237" s="79" t="s">
        <v>158</v>
      </c>
      <c r="B237" s="48" t="s">
        <v>68</v>
      </c>
      <c r="C237" s="127" t="s">
        <v>632</v>
      </c>
      <c r="D237" s="127" t="str">
        <f>VLOOKUP(A237,LUONGNGAY!$A$12:$K$90,11,0)</f>
        <v>KTV1</v>
      </c>
      <c r="E237" s="227"/>
      <c r="F237" s="127"/>
      <c r="G237" s="228">
        <f>G194</f>
        <v>289.61240000000004</v>
      </c>
      <c r="H237" s="259"/>
    </row>
    <row r="238" spans="1:8" ht="25.5" x14ac:dyDescent="0.25">
      <c r="A238" s="79" t="s">
        <v>159</v>
      </c>
      <c r="B238" s="48" t="s">
        <v>69</v>
      </c>
      <c r="C238" s="5" t="s">
        <v>590</v>
      </c>
      <c r="D238" s="127" t="str">
        <f>D207</f>
        <v>KS1</v>
      </c>
      <c r="E238" s="227"/>
      <c r="F238" s="127"/>
      <c r="G238" s="228">
        <f>$G$150</f>
        <v>32061.100000000002</v>
      </c>
      <c r="H238" s="189" t="s">
        <v>328</v>
      </c>
    </row>
    <row r="239" spans="1:8" ht="15.75" x14ac:dyDescent="0.25">
      <c r="A239" s="202" t="s">
        <v>512</v>
      </c>
      <c r="B239" s="278" t="s">
        <v>513</v>
      </c>
      <c r="C239" s="127"/>
      <c r="D239" s="127"/>
      <c r="E239" s="227"/>
      <c r="F239" s="127"/>
      <c r="G239" s="326">
        <f>SUM(G240:G245)</f>
        <v>57841.699200000003</v>
      </c>
      <c r="H239" s="233" t="s">
        <v>638</v>
      </c>
    </row>
    <row r="240" spans="1:8" ht="31.5" x14ac:dyDescent="0.25">
      <c r="A240" s="79" t="s">
        <v>154</v>
      </c>
      <c r="B240" s="48" t="s">
        <v>64</v>
      </c>
      <c r="C240" s="127" t="s">
        <v>633</v>
      </c>
      <c r="D240" s="127" t="str">
        <f>VLOOKUP(A240,LUONGNGAY!$A$12:$K$90,11,0)</f>
        <v>KTV1</v>
      </c>
      <c r="E240" s="227"/>
      <c r="F240" s="127"/>
      <c r="G240" s="228">
        <f>G197</f>
        <v>1513.883</v>
      </c>
      <c r="H240" s="259"/>
    </row>
    <row r="241" spans="1:8" ht="15.75" x14ac:dyDescent="0.25">
      <c r="A241" s="79" t="s">
        <v>155</v>
      </c>
      <c r="B241" s="48" t="s">
        <v>65</v>
      </c>
      <c r="C241" s="127" t="s">
        <v>633</v>
      </c>
      <c r="D241" s="127" t="str">
        <f>VLOOKUP(A241,LUONGNGAY!$A$12:$K$90,11,0)</f>
        <v>KTV1</v>
      </c>
      <c r="E241" s="227"/>
      <c r="F241" s="127"/>
      <c r="G241" s="417">
        <f>G198*2</f>
        <v>7898.5199999999995</v>
      </c>
      <c r="H241" s="259"/>
    </row>
    <row r="242" spans="1:8" ht="15.75" x14ac:dyDescent="0.25">
      <c r="A242" s="79" t="s">
        <v>156</v>
      </c>
      <c r="B242" s="48" t="s">
        <v>66</v>
      </c>
      <c r="C242" s="127" t="s">
        <v>633</v>
      </c>
      <c r="D242" s="127" t="str">
        <f>VLOOKUP(A242,LUONGNGAY!$A$12:$K$90,11,0)</f>
        <v>KTV1</v>
      </c>
      <c r="E242" s="227"/>
      <c r="F242" s="127"/>
      <c r="G242" s="417">
        <f>G199*2</f>
        <v>15797.039999999999</v>
      </c>
      <c r="H242" s="259"/>
    </row>
    <row r="243" spans="1:8" ht="15.75" x14ac:dyDescent="0.25">
      <c r="A243" s="79" t="s">
        <v>157</v>
      </c>
      <c r="B243" s="48" t="s">
        <v>67</v>
      </c>
      <c r="C243" s="127" t="s">
        <v>633</v>
      </c>
      <c r="D243" s="127" t="str">
        <f>VLOOKUP(A243,LUONGNGAY!$A$12:$K$90,11,0)</f>
        <v>KS1</v>
      </c>
      <c r="E243" s="227"/>
      <c r="F243" s="127"/>
      <c r="G243" s="228">
        <f>G200</f>
        <v>281.54379999999998</v>
      </c>
      <c r="H243" s="259"/>
    </row>
    <row r="244" spans="1:8" ht="15.75" x14ac:dyDescent="0.25">
      <c r="A244" s="79" t="s">
        <v>158</v>
      </c>
      <c r="B244" s="48" t="s">
        <v>68</v>
      </c>
      <c r="C244" s="127" t="s">
        <v>633</v>
      </c>
      <c r="D244" s="127" t="str">
        <f>VLOOKUP(A244,LUONGNGAY!$A$12:$K$90,11,0)</f>
        <v>KTV1</v>
      </c>
      <c r="E244" s="227"/>
      <c r="F244" s="127"/>
      <c r="G244" s="228">
        <f>G201</f>
        <v>289.61240000000004</v>
      </c>
      <c r="H244" s="259"/>
    </row>
    <row r="245" spans="1:8" ht="25.5" x14ac:dyDescent="0.25">
      <c r="A245" s="79" t="s">
        <v>159</v>
      </c>
      <c r="B245" s="48" t="s">
        <v>69</v>
      </c>
      <c r="C245" s="5" t="s">
        <v>590</v>
      </c>
      <c r="D245" s="127" t="str">
        <f>D214</f>
        <v>KS1</v>
      </c>
      <c r="E245" s="227"/>
      <c r="F245" s="127"/>
      <c r="G245" s="228">
        <f>$G$150</f>
        <v>32061.100000000002</v>
      </c>
      <c r="H245" s="189" t="s">
        <v>328</v>
      </c>
    </row>
    <row r="246" spans="1:8" ht="15.75" x14ac:dyDescent="0.25">
      <c r="A246" s="202" t="s">
        <v>515</v>
      </c>
      <c r="B246" s="278" t="s">
        <v>516</v>
      </c>
      <c r="C246" s="127"/>
      <c r="D246" s="127"/>
      <c r="E246" s="227"/>
      <c r="F246" s="127"/>
      <c r="G246" s="326">
        <f>SUM(G247:G252)</f>
        <v>81537.2592</v>
      </c>
      <c r="H246" s="233" t="s">
        <v>637</v>
      </c>
    </row>
    <row r="247" spans="1:8" ht="31.5" x14ac:dyDescent="0.25">
      <c r="A247" s="79" t="s">
        <v>154</v>
      </c>
      <c r="B247" s="48" t="s">
        <v>64</v>
      </c>
      <c r="C247" s="127" t="s">
        <v>634</v>
      </c>
      <c r="D247" s="127" t="str">
        <f>VLOOKUP(A247,LUONGNGAY!$A$12:$K$90,11,0)</f>
        <v>KTV1</v>
      </c>
      <c r="E247" s="227"/>
      <c r="F247" s="127"/>
      <c r="G247" s="228">
        <f>G204</f>
        <v>1513.883</v>
      </c>
      <c r="H247" s="259"/>
    </row>
    <row r="248" spans="1:8" ht="15.75" x14ac:dyDescent="0.25">
      <c r="A248" s="79" t="s">
        <v>155</v>
      </c>
      <c r="B248" s="48" t="s">
        <v>65</v>
      </c>
      <c r="C248" s="127" t="s">
        <v>634</v>
      </c>
      <c r="D248" s="127" t="str">
        <f>VLOOKUP(A248,LUONGNGAY!$A$12:$K$90,11,0)</f>
        <v>KTV1</v>
      </c>
      <c r="E248" s="227"/>
      <c r="F248" s="127"/>
      <c r="G248" s="417">
        <f>G205*2</f>
        <v>15797.039999999999</v>
      </c>
      <c r="H248" s="259"/>
    </row>
    <row r="249" spans="1:8" ht="15.75" x14ac:dyDescent="0.25">
      <c r="A249" s="79" t="s">
        <v>156</v>
      </c>
      <c r="B249" s="48" t="s">
        <v>66</v>
      </c>
      <c r="C249" s="127" t="s">
        <v>634</v>
      </c>
      <c r="D249" s="127" t="str">
        <f>VLOOKUP(A249,LUONGNGAY!$A$12:$K$90,11,0)</f>
        <v>KTV1</v>
      </c>
      <c r="E249" s="227"/>
      <c r="F249" s="127"/>
      <c r="G249" s="417">
        <f>G206*2</f>
        <v>31594.079999999998</v>
      </c>
      <c r="H249" s="259"/>
    </row>
    <row r="250" spans="1:8" ht="15.75" x14ac:dyDescent="0.25">
      <c r="A250" s="79" t="s">
        <v>157</v>
      </c>
      <c r="B250" s="48" t="s">
        <v>67</v>
      </c>
      <c r="C250" s="127" t="s">
        <v>634</v>
      </c>
      <c r="D250" s="127" t="str">
        <f>VLOOKUP(A250,LUONGNGAY!$A$12:$K$90,11,0)</f>
        <v>KS1</v>
      </c>
      <c r="E250" s="227"/>
      <c r="F250" s="127"/>
      <c r="G250" s="228">
        <f>G207</f>
        <v>281.54379999999998</v>
      </c>
      <c r="H250" s="259"/>
    </row>
    <row r="251" spans="1:8" ht="15.75" x14ac:dyDescent="0.25">
      <c r="A251" s="79" t="s">
        <v>158</v>
      </c>
      <c r="B251" s="48" t="s">
        <v>68</v>
      </c>
      <c r="C251" s="127" t="s">
        <v>634</v>
      </c>
      <c r="D251" s="127" t="str">
        <f>VLOOKUP(A251,LUONGNGAY!$A$12:$K$90,11,0)</f>
        <v>KTV1</v>
      </c>
      <c r="E251" s="227"/>
      <c r="F251" s="127"/>
      <c r="G251" s="228">
        <f>G208</f>
        <v>289.61240000000004</v>
      </c>
      <c r="H251" s="259"/>
    </row>
    <row r="252" spans="1:8" ht="25.5" x14ac:dyDescent="0.25">
      <c r="A252" s="79" t="s">
        <v>159</v>
      </c>
      <c r="B252" s="48" t="s">
        <v>69</v>
      </c>
      <c r="C252" s="5" t="s">
        <v>590</v>
      </c>
      <c r="D252" s="127" t="str">
        <f>D221</f>
        <v>KTV1</v>
      </c>
      <c r="E252" s="227"/>
      <c r="F252" s="127"/>
      <c r="G252" s="228">
        <f>$G$150</f>
        <v>32061.100000000002</v>
      </c>
      <c r="H252" s="189" t="s">
        <v>328</v>
      </c>
    </row>
    <row r="253" spans="1:8" ht="15.75" x14ac:dyDescent="0.25">
      <c r="A253" s="202" t="s">
        <v>518</v>
      </c>
      <c r="B253" s="278" t="s">
        <v>519</v>
      </c>
      <c r="C253" s="127"/>
      <c r="D253" s="127"/>
      <c r="E253" s="227"/>
      <c r="F253" s="127"/>
      <c r="G253" s="326">
        <f>SUM(G254:G259)</f>
        <v>128928.3792</v>
      </c>
      <c r="H253" s="233" t="s">
        <v>636</v>
      </c>
    </row>
    <row r="254" spans="1:8" ht="31.5" x14ac:dyDescent="0.25">
      <c r="A254" s="79" t="s">
        <v>154</v>
      </c>
      <c r="B254" s="48" t="s">
        <v>64</v>
      </c>
      <c r="C254" s="127" t="s">
        <v>635</v>
      </c>
      <c r="D254" s="127" t="str">
        <f>VLOOKUP(A254,LUONGNGAY!$A$12:$K$90,11,0)</f>
        <v>KTV1</v>
      </c>
      <c r="E254" s="227"/>
      <c r="F254" s="127"/>
      <c r="G254" s="228">
        <f>G211</f>
        <v>1513.883</v>
      </c>
      <c r="H254" s="259"/>
    </row>
    <row r="255" spans="1:8" ht="15.75" x14ac:dyDescent="0.25">
      <c r="A255" s="79" t="s">
        <v>155</v>
      </c>
      <c r="B255" s="48" t="s">
        <v>65</v>
      </c>
      <c r="C255" s="127" t="s">
        <v>635</v>
      </c>
      <c r="D255" s="127" t="str">
        <f>VLOOKUP(A255,LUONGNGAY!$A$12:$K$90,11,0)</f>
        <v>KTV1</v>
      </c>
      <c r="E255" s="227"/>
      <c r="F255" s="127"/>
      <c r="G255" s="417">
        <f>G212*2</f>
        <v>31594.079999999998</v>
      </c>
      <c r="H255" s="259"/>
    </row>
    <row r="256" spans="1:8" ht="15.75" x14ac:dyDescent="0.25">
      <c r="A256" s="79" t="s">
        <v>156</v>
      </c>
      <c r="B256" s="48" t="s">
        <v>66</v>
      </c>
      <c r="C256" s="127" t="s">
        <v>635</v>
      </c>
      <c r="D256" s="127" t="str">
        <f>VLOOKUP(A256,LUONGNGAY!$A$12:$K$90,11,0)</f>
        <v>KTV1</v>
      </c>
      <c r="E256" s="227"/>
      <c r="F256" s="127"/>
      <c r="G256" s="417">
        <f>G213*2</f>
        <v>63188.159999999996</v>
      </c>
      <c r="H256" s="259"/>
    </row>
    <row r="257" spans="1:8" ht="15.75" x14ac:dyDescent="0.25">
      <c r="A257" s="79" t="s">
        <v>157</v>
      </c>
      <c r="B257" s="48" t="s">
        <v>67</v>
      </c>
      <c r="C257" s="127" t="s">
        <v>635</v>
      </c>
      <c r="D257" s="127" t="str">
        <f>VLOOKUP(A257,LUONGNGAY!$A$12:$K$90,11,0)</f>
        <v>KS1</v>
      </c>
      <c r="E257" s="227"/>
      <c r="F257" s="127"/>
      <c r="G257" s="228">
        <f>G214</f>
        <v>281.54379999999998</v>
      </c>
      <c r="H257" s="259"/>
    </row>
    <row r="258" spans="1:8" ht="15.75" x14ac:dyDescent="0.25">
      <c r="A258" s="79" t="s">
        <v>158</v>
      </c>
      <c r="B258" s="48" t="s">
        <v>68</v>
      </c>
      <c r="C258" s="127" t="s">
        <v>635</v>
      </c>
      <c r="D258" s="127" t="str">
        <f>VLOOKUP(A258,LUONGNGAY!$A$12:$K$90,11,0)</f>
        <v>KTV1</v>
      </c>
      <c r="E258" s="227"/>
      <c r="F258" s="127"/>
      <c r="G258" s="228">
        <f>G215</f>
        <v>289.61240000000004</v>
      </c>
      <c r="H258" s="259"/>
    </row>
    <row r="259" spans="1:8" ht="25.5" x14ac:dyDescent="0.25">
      <c r="A259" s="79" t="s">
        <v>159</v>
      </c>
      <c r="B259" s="48" t="s">
        <v>69</v>
      </c>
      <c r="C259" s="5" t="s">
        <v>590</v>
      </c>
      <c r="D259" s="127" t="str">
        <f>D228</f>
        <v>KTV1</v>
      </c>
      <c r="E259" s="227"/>
      <c r="F259" s="127"/>
      <c r="G259" s="228">
        <f>$G$150</f>
        <v>32061.100000000002</v>
      </c>
      <c r="H259" s="189" t="s">
        <v>328</v>
      </c>
    </row>
    <row r="260" spans="1:8" ht="15.75" x14ac:dyDescent="0.25">
      <c r="A260" s="78" t="s">
        <v>168</v>
      </c>
      <c r="B260" s="148" t="s">
        <v>70</v>
      </c>
      <c r="C260" s="127"/>
      <c r="D260" s="127"/>
      <c r="E260" s="227"/>
      <c r="F260" s="127"/>
      <c r="G260" s="228"/>
      <c r="H260" s="259"/>
    </row>
    <row r="261" spans="1:8" ht="31.5" x14ac:dyDescent="0.25">
      <c r="A261" s="79" t="s">
        <v>162</v>
      </c>
      <c r="B261" s="48" t="s">
        <v>71</v>
      </c>
      <c r="C261" s="127" t="s">
        <v>594</v>
      </c>
      <c r="D261" s="127" t="str">
        <f>VLOOKUP(A261,LUONGNGAY!$A$12:$K$90,11,0)</f>
        <v>KTV1</v>
      </c>
      <c r="E261" s="227">
        <f>VLOOKUP(A261,LUONGNGAY!$A$11:$O$90,15,0)</f>
        <v>131642</v>
      </c>
      <c r="F261" s="127">
        <v>2.282</v>
      </c>
      <c r="G261" s="228">
        <f t="shared" ref="G261" si="17">E261*F261</f>
        <v>300407.04399999999</v>
      </c>
      <c r="H261" s="259" t="s">
        <v>456</v>
      </c>
    </row>
    <row r="262" spans="1:8" ht="39" x14ac:dyDescent="0.25">
      <c r="A262" s="79" t="s">
        <v>163</v>
      </c>
      <c r="B262" s="48" t="s">
        <v>72</v>
      </c>
      <c r="C262" s="127"/>
      <c r="D262" s="422"/>
      <c r="E262" s="423"/>
      <c r="F262" s="422"/>
      <c r="G262" s="228"/>
      <c r="H262" s="347" t="s">
        <v>446</v>
      </c>
    </row>
    <row r="263" spans="1:8" ht="15.75" x14ac:dyDescent="0.25">
      <c r="A263" s="5" t="s">
        <v>89</v>
      </c>
      <c r="B263" s="251" t="s">
        <v>653</v>
      </c>
      <c r="C263" s="75" t="s">
        <v>323</v>
      </c>
      <c r="D263" s="127" t="str">
        <f>LUONGNGAY26[[#Headers],[KS1]]</f>
        <v>KS1</v>
      </c>
      <c r="E263" s="227">
        <f>'LUONGNGAY-TT26'!H12</f>
        <v>188969.25</v>
      </c>
      <c r="F263" s="127">
        <f>'LUONGNGAY-TT26'!I12</f>
        <v>8.0000000000000002E-3</v>
      </c>
      <c r="G263" s="228">
        <f>E263*F263</f>
        <v>1511.7540000000001</v>
      </c>
      <c r="H263" s="238"/>
    </row>
    <row r="264" spans="1:8" ht="15.75" x14ac:dyDescent="0.25">
      <c r="A264" s="5" t="s">
        <v>89</v>
      </c>
      <c r="B264" s="251" t="s">
        <v>654</v>
      </c>
      <c r="C264" s="75" t="s">
        <v>646</v>
      </c>
      <c r="D264" s="127" t="str">
        <f>LUONGNGAY26[[#Headers],[KS1]]</f>
        <v>KS1</v>
      </c>
      <c r="E264" s="227"/>
      <c r="F264" s="127"/>
      <c r="G264" s="226">
        <f>G263*2</f>
        <v>3023.5080000000003</v>
      </c>
      <c r="H264" s="238" t="s">
        <v>616</v>
      </c>
    </row>
    <row r="265" spans="1:8" ht="15.75" x14ac:dyDescent="0.25">
      <c r="A265" s="5" t="s">
        <v>89</v>
      </c>
      <c r="B265" s="251" t="s">
        <v>655</v>
      </c>
      <c r="C265" s="75" t="s">
        <v>647</v>
      </c>
      <c r="D265" s="127" t="str">
        <f>LUONGNGAY26[[#Headers],[KS1]]</f>
        <v>KS1</v>
      </c>
      <c r="E265" s="227"/>
      <c r="F265" s="127"/>
      <c r="G265" s="226">
        <f>G263*4</f>
        <v>6047.0160000000005</v>
      </c>
      <c r="H265" s="238" t="s">
        <v>650</v>
      </c>
    </row>
    <row r="266" spans="1:8" ht="15.75" x14ac:dyDescent="0.25">
      <c r="A266" s="5" t="s">
        <v>89</v>
      </c>
      <c r="B266" s="251" t="s">
        <v>656</v>
      </c>
      <c r="C266" s="75" t="s">
        <v>648</v>
      </c>
      <c r="D266" s="127" t="str">
        <f>LUONGNGAY26[[#Headers],[KS1]]</f>
        <v>KS1</v>
      </c>
      <c r="E266" s="227"/>
      <c r="F266" s="127"/>
      <c r="G266" s="226">
        <f>G263*8</f>
        <v>12094.032000000001</v>
      </c>
      <c r="H266" s="238" t="s">
        <v>651</v>
      </c>
    </row>
    <row r="267" spans="1:8" ht="15.75" x14ac:dyDescent="0.25">
      <c r="A267" s="5" t="s">
        <v>89</v>
      </c>
      <c r="B267" s="251" t="s">
        <v>657</v>
      </c>
      <c r="C267" s="75" t="s">
        <v>649</v>
      </c>
      <c r="D267" s="127" t="str">
        <f>LUONGNGAY26[[#Headers],[KS1]]</f>
        <v>KS1</v>
      </c>
      <c r="E267" s="227"/>
      <c r="F267" s="127"/>
      <c r="G267" s="226">
        <f>G263*16</f>
        <v>24188.064000000002</v>
      </c>
      <c r="H267" s="238" t="s">
        <v>652</v>
      </c>
    </row>
    <row r="268" spans="1:8" ht="15.75" x14ac:dyDescent="0.25">
      <c r="A268" s="79" t="s">
        <v>164</v>
      </c>
      <c r="B268" s="48" t="s">
        <v>73</v>
      </c>
      <c r="C268" s="127"/>
      <c r="D268" s="127"/>
      <c r="E268" s="227"/>
      <c r="F268" s="127"/>
      <c r="G268" s="228"/>
      <c r="H268" s="259" t="s">
        <v>54</v>
      </c>
    </row>
    <row r="269" spans="1:8" ht="39" x14ac:dyDescent="0.25">
      <c r="A269" s="79" t="s">
        <v>165</v>
      </c>
      <c r="B269" s="48" t="s">
        <v>74</v>
      </c>
      <c r="C269" s="127"/>
      <c r="D269" s="127"/>
      <c r="E269" s="227"/>
      <c r="F269" s="127"/>
      <c r="G269" s="228"/>
      <c r="H269" s="347" t="s">
        <v>327</v>
      </c>
    </row>
    <row r="270" spans="1:8" ht="15.75" x14ac:dyDescent="0.25">
      <c r="A270" s="77" t="s">
        <v>574</v>
      </c>
      <c r="B270" s="251" t="s">
        <v>16</v>
      </c>
      <c r="C270" s="47" t="str">
        <f>C10</f>
        <v>Trường dữ liệu</v>
      </c>
      <c r="D270" s="47" t="str">
        <f>D10</f>
        <v>KS2</v>
      </c>
      <c r="E270" s="256">
        <f>E10</f>
        <v>188969</v>
      </c>
      <c r="F270" s="47" t="str">
        <f>F10</f>
        <v>0,0003</v>
      </c>
      <c r="G270" s="257">
        <f t="shared" ref="G270" si="18">E270*F270</f>
        <v>56.690699999999993</v>
      </c>
      <c r="H270" s="347"/>
    </row>
    <row r="271" spans="1:8" ht="15.75" x14ac:dyDescent="0.25">
      <c r="A271" s="77" t="s">
        <v>575</v>
      </c>
      <c r="B271" s="251" t="s">
        <v>17</v>
      </c>
      <c r="C271" s="47"/>
      <c r="D271" s="47"/>
      <c r="E271" s="256"/>
      <c r="F271" s="47"/>
      <c r="G271" s="257"/>
      <c r="H271" s="347"/>
    </row>
    <row r="272" spans="1:8" ht="15.75" x14ac:dyDescent="0.25">
      <c r="A272" s="202" t="s">
        <v>228</v>
      </c>
      <c r="B272" s="278" t="s">
        <v>413</v>
      </c>
      <c r="C272" s="127"/>
      <c r="D272" s="127"/>
      <c r="E272" s="256"/>
      <c r="F272" s="47"/>
      <c r="G272" s="228"/>
      <c r="H272" s="347"/>
    </row>
    <row r="273" spans="1:8" ht="15.75" x14ac:dyDescent="0.25">
      <c r="A273" s="79" t="s">
        <v>89</v>
      </c>
      <c r="B273" s="48" t="s">
        <v>224</v>
      </c>
      <c r="C273" s="56" t="s">
        <v>411</v>
      </c>
      <c r="D273" s="127" t="str">
        <f>LUONGNGAY26[[#Headers],[KS1]]</f>
        <v>KS1</v>
      </c>
      <c r="E273" s="227">
        <f>'LUONGNGAY-TT26'!H17</f>
        <v>188969.25</v>
      </c>
      <c r="F273" s="127">
        <f>'LUONGNGAY-TT26'!I17</f>
        <v>2.48E-3</v>
      </c>
      <c r="G273" s="228">
        <f t="shared" ref="G273" si="19">E273*F273</f>
        <v>468.64373999999998</v>
      </c>
      <c r="H273" s="347"/>
    </row>
    <row r="274" spans="1:8" ht="15.75" x14ac:dyDescent="0.25">
      <c r="A274" s="79" t="s">
        <v>89</v>
      </c>
      <c r="B274" s="48" t="s">
        <v>225</v>
      </c>
      <c r="C274" s="56" t="s">
        <v>411</v>
      </c>
      <c r="D274" s="127" t="str">
        <f>LUONGNGAY26[[#Headers],[KS1]]</f>
        <v>KS1</v>
      </c>
      <c r="E274" s="227">
        <f>'LUONGNGAY-TT26'!H18</f>
        <v>188969.25</v>
      </c>
      <c r="F274" s="127">
        <f>'LUONGNGAY-TT26'!I18</f>
        <v>4.4000000000000003E-3</v>
      </c>
      <c r="G274" s="228">
        <f t="shared" ref="G274:G280" si="20">E274*F274</f>
        <v>831.46469999999999</v>
      </c>
      <c r="H274" s="347"/>
    </row>
    <row r="275" spans="1:8" ht="15.75" x14ac:dyDescent="0.25">
      <c r="A275" s="79" t="s">
        <v>89</v>
      </c>
      <c r="B275" s="48" t="s">
        <v>232</v>
      </c>
      <c r="C275" s="56" t="s">
        <v>412</v>
      </c>
      <c r="D275" s="127" t="str">
        <f>LUONGNGAY26[[#Headers],[KS1]]</f>
        <v>KS1</v>
      </c>
      <c r="E275" s="227">
        <f>'LUONGNGAY-TT26'!H19</f>
        <v>188969.25</v>
      </c>
      <c r="F275" s="127">
        <f>'LUONGNGAY-TT26'!I19</f>
        <v>4.5359999999999998E-2</v>
      </c>
      <c r="G275" s="228">
        <f t="shared" si="20"/>
        <v>8571.6451799999995</v>
      </c>
      <c r="H275" s="347"/>
    </row>
    <row r="276" spans="1:8" ht="15.75" x14ac:dyDescent="0.25">
      <c r="A276" s="79" t="s">
        <v>89</v>
      </c>
      <c r="B276" s="48" t="s">
        <v>233</v>
      </c>
      <c r="C276" s="56" t="s">
        <v>412</v>
      </c>
      <c r="D276" s="127" t="str">
        <f>LUONGNGAY26[[#Headers],[KS1]]</f>
        <v>KS1</v>
      </c>
      <c r="E276" s="227">
        <f>'LUONGNGAY-TT26'!H20</f>
        <v>188969.25</v>
      </c>
      <c r="F276" s="127">
        <f>'LUONGNGAY-TT26'!I20</f>
        <v>5.3600000000000002E-2</v>
      </c>
      <c r="G276" s="228">
        <f t="shared" si="20"/>
        <v>10128.7518</v>
      </c>
      <c r="H276" s="347"/>
    </row>
    <row r="277" spans="1:8" ht="31.5" x14ac:dyDescent="0.25">
      <c r="A277" s="79" t="s">
        <v>89</v>
      </c>
      <c r="B277" s="48" t="s">
        <v>226</v>
      </c>
      <c r="C277" s="56" t="s">
        <v>411</v>
      </c>
      <c r="D277" s="127" t="str">
        <f>LUONGNGAY26[[#Headers],[KS1]]</f>
        <v>KS1</v>
      </c>
      <c r="E277" s="227">
        <f>'LUONGNGAY-TT26'!H21</f>
        <v>188969.25</v>
      </c>
      <c r="F277" s="127">
        <f>'LUONGNGAY-TT26'!I21</f>
        <v>7.2000000000000005E-4</v>
      </c>
      <c r="G277" s="228">
        <f t="shared" si="20"/>
        <v>136.05786000000001</v>
      </c>
      <c r="H277" s="347"/>
    </row>
    <row r="278" spans="1:8" ht="31.5" x14ac:dyDescent="0.25">
      <c r="A278" s="79" t="s">
        <v>89</v>
      </c>
      <c r="B278" s="48" t="s">
        <v>227</v>
      </c>
      <c r="C278" s="56" t="s">
        <v>411</v>
      </c>
      <c r="D278" s="127" t="str">
        <f>LUONGNGAY26[[#Headers],[KS1]]</f>
        <v>KS1</v>
      </c>
      <c r="E278" s="227">
        <f>'LUONGNGAY-TT26'!H22</f>
        <v>188969.25</v>
      </c>
      <c r="F278" s="127">
        <f>'LUONGNGAY-TT26'!I22</f>
        <v>1.1999999999999999E-3</v>
      </c>
      <c r="G278" s="228">
        <f t="shared" si="20"/>
        <v>226.76309999999998</v>
      </c>
      <c r="H278" s="347"/>
    </row>
    <row r="279" spans="1:8" ht="31.5" x14ac:dyDescent="0.25">
      <c r="A279" s="79" t="s">
        <v>89</v>
      </c>
      <c r="B279" s="48" t="s">
        <v>234</v>
      </c>
      <c r="C279" s="56" t="s">
        <v>412</v>
      </c>
      <c r="D279" s="127" t="str">
        <f>LUONGNGAY26[[#Headers],[KS1]]</f>
        <v>KS1</v>
      </c>
      <c r="E279" s="227">
        <f>'LUONGNGAY-TT26'!H23</f>
        <v>188969.25</v>
      </c>
      <c r="F279" s="127">
        <f>'LUONGNGAY-TT26'!I23</f>
        <v>1.1440000000000001E-2</v>
      </c>
      <c r="G279" s="228">
        <f t="shared" si="20"/>
        <v>2161.8082199999999</v>
      </c>
      <c r="H279" s="347"/>
    </row>
    <row r="280" spans="1:8" ht="31.5" x14ac:dyDescent="0.25">
      <c r="A280" s="79" t="s">
        <v>89</v>
      </c>
      <c r="B280" s="48" t="s">
        <v>227</v>
      </c>
      <c r="C280" s="56" t="s">
        <v>412</v>
      </c>
      <c r="D280" s="127" t="str">
        <f>LUONGNGAY26[[#Headers],[KS1]]</f>
        <v>KS1</v>
      </c>
      <c r="E280" s="227">
        <f>'LUONGNGAY-TT26'!H24</f>
        <v>188969.25</v>
      </c>
      <c r="F280" s="127">
        <f>'LUONGNGAY-TT26'!I24</f>
        <v>1.3599999999999999E-2</v>
      </c>
      <c r="G280" s="228">
        <f t="shared" si="20"/>
        <v>2569.9818</v>
      </c>
      <c r="H280" s="347"/>
    </row>
    <row r="281" spans="1:8" ht="15.75" x14ac:dyDescent="0.25">
      <c r="A281" s="202" t="s">
        <v>229</v>
      </c>
      <c r="B281" s="278" t="s">
        <v>414</v>
      </c>
      <c r="C281" s="127"/>
      <c r="D281" s="127"/>
      <c r="E281" s="227"/>
      <c r="F281" s="127"/>
      <c r="G281" s="228"/>
      <c r="H281" s="347"/>
    </row>
    <row r="282" spans="1:8" ht="15.75" x14ac:dyDescent="0.25">
      <c r="A282" s="79" t="s">
        <v>89</v>
      </c>
      <c r="B282" s="48" t="s">
        <v>224</v>
      </c>
      <c r="C282" s="56" t="s">
        <v>411</v>
      </c>
      <c r="D282" s="127" t="str">
        <f>LUONGNGAY26[[#Headers],[KS1]]</f>
        <v>KS1</v>
      </c>
      <c r="E282" s="227">
        <f>'LUONGNGAY-TT26'!H26</f>
        <v>188969.25</v>
      </c>
      <c r="F282" s="127">
        <f>'LUONGNGAY-TT26'!I26</f>
        <v>3.0999999999999999E-3</v>
      </c>
      <c r="G282" s="228">
        <f t="shared" ref="G282:G289" si="21">E282*F282</f>
        <v>585.80467499999997</v>
      </c>
      <c r="H282" s="347"/>
    </row>
    <row r="283" spans="1:8" ht="15.75" x14ac:dyDescent="0.25">
      <c r="A283" s="79" t="s">
        <v>89</v>
      </c>
      <c r="B283" s="48" t="s">
        <v>225</v>
      </c>
      <c r="C283" s="56" t="s">
        <v>411</v>
      </c>
      <c r="D283" s="127" t="str">
        <f>LUONGNGAY26[[#Headers],[KS1]]</f>
        <v>KS1</v>
      </c>
      <c r="E283" s="227">
        <f>'LUONGNGAY-TT26'!H27</f>
        <v>188969.25</v>
      </c>
      <c r="F283" s="127">
        <f>'LUONGNGAY-TT26'!I27</f>
        <v>5.4999999999999997E-3</v>
      </c>
      <c r="G283" s="228">
        <f t="shared" si="21"/>
        <v>1039.3308749999999</v>
      </c>
      <c r="H283" s="347"/>
    </row>
    <row r="284" spans="1:8" ht="15.75" x14ac:dyDescent="0.25">
      <c r="A284" s="79" t="s">
        <v>89</v>
      </c>
      <c r="B284" s="48" t="s">
        <v>232</v>
      </c>
      <c r="C284" s="56" t="s">
        <v>412</v>
      </c>
      <c r="D284" s="127" t="str">
        <f>LUONGNGAY26[[#Headers],[KS1]]</f>
        <v>KS1</v>
      </c>
      <c r="E284" s="227">
        <f>'LUONGNGAY-TT26'!H28</f>
        <v>188969.25</v>
      </c>
      <c r="F284" s="127">
        <f>'LUONGNGAY-TT26'!I28</f>
        <v>5.67E-2</v>
      </c>
      <c r="G284" s="228">
        <f t="shared" si="21"/>
        <v>10714.556474999999</v>
      </c>
      <c r="H284" s="347"/>
    </row>
    <row r="285" spans="1:8" ht="15.75" x14ac:dyDescent="0.25">
      <c r="A285" s="79" t="s">
        <v>89</v>
      </c>
      <c r="B285" s="48" t="s">
        <v>233</v>
      </c>
      <c r="C285" s="56" t="s">
        <v>412</v>
      </c>
      <c r="D285" s="127" t="str">
        <f>LUONGNGAY26[[#Headers],[KS1]]</f>
        <v>KS1</v>
      </c>
      <c r="E285" s="227">
        <f>'LUONGNGAY-TT26'!H29</f>
        <v>188969.25</v>
      </c>
      <c r="F285" s="127">
        <f>'LUONGNGAY-TT26'!I29</f>
        <v>6.7000000000000004E-2</v>
      </c>
      <c r="G285" s="228">
        <f t="shared" si="21"/>
        <v>12660.939750000001</v>
      </c>
      <c r="H285" s="347"/>
    </row>
    <row r="286" spans="1:8" ht="31.5" x14ac:dyDescent="0.25">
      <c r="A286" s="79" t="s">
        <v>89</v>
      </c>
      <c r="B286" s="48" t="s">
        <v>226</v>
      </c>
      <c r="C286" s="56" t="s">
        <v>411</v>
      </c>
      <c r="D286" s="127" t="str">
        <f>LUONGNGAY26[[#Headers],[KS1]]</f>
        <v>KS1</v>
      </c>
      <c r="E286" s="227">
        <f>'LUONGNGAY-TT26'!H30</f>
        <v>188969.25</v>
      </c>
      <c r="F286" s="127">
        <f>'LUONGNGAY-TT26'!I30</f>
        <v>8.9999999999999998E-4</v>
      </c>
      <c r="G286" s="228">
        <f t="shared" si="21"/>
        <v>170.07232500000001</v>
      </c>
      <c r="H286" s="347"/>
    </row>
    <row r="287" spans="1:8" ht="31.5" x14ac:dyDescent="0.25">
      <c r="A287" s="79" t="s">
        <v>89</v>
      </c>
      <c r="B287" s="48" t="s">
        <v>227</v>
      </c>
      <c r="C287" s="56" t="s">
        <v>411</v>
      </c>
      <c r="D287" s="127" t="str">
        <f>LUONGNGAY26[[#Headers],[KS1]]</f>
        <v>KS1</v>
      </c>
      <c r="E287" s="227">
        <f>'LUONGNGAY-TT26'!H31</f>
        <v>188969.25</v>
      </c>
      <c r="F287" s="127">
        <f>'LUONGNGAY-TT26'!I31</f>
        <v>1.5E-3</v>
      </c>
      <c r="G287" s="228">
        <f t="shared" si="21"/>
        <v>283.45387499999998</v>
      </c>
      <c r="H287" s="347"/>
    </row>
    <row r="288" spans="1:8" ht="31.5" x14ac:dyDescent="0.25">
      <c r="A288" s="79" t="s">
        <v>89</v>
      </c>
      <c r="B288" s="48" t="s">
        <v>234</v>
      </c>
      <c r="C288" s="56" t="s">
        <v>412</v>
      </c>
      <c r="D288" s="127" t="str">
        <f>LUONGNGAY26[[#Headers],[KS1]]</f>
        <v>KS1</v>
      </c>
      <c r="E288" s="227">
        <f>'LUONGNGAY-TT26'!H32</f>
        <v>188969.25</v>
      </c>
      <c r="F288" s="127">
        <f>'LUONGNGAY-TT26'!I32</f>
        <v>1.43E-2</v>
      </c>
      <c r="G288" s="228">
        <f t="shared" si="21"/>
        <v>2702.2602750000001</v>
      </c>
      <c r="H288" s="347"/>
    </row>
    <row r="289" spans="1:8" ht="31.5" x14ac:dyDescent="0.25">
      <c r="A289" s="79" t="s">
        <v>89</v>
      </c>
      <c r="B289" s="48" t="s">
        <v>227</v>
      </c>
      <c r="C289" s="56" t="s">
        <v>412</v>
      </c>
      <c r="D289" s="127" t="str">
        <f>LUONGNGAY26[[#Headers],[KS1]]</f>
        <v>KS1</v>
      </c>
      <c r="E289" s="227">
        <f>'LUONGNGAY-TT26'!H33</f>
        <v>188969.25</v>
      </c>
      <c r="F289" s="127">
        <f>'LUONGNGAY-TT26'!I33</f>
        <v>1.7000000000000001E-2</v>
      </c>
      <c r="G289" s="228">
        <f t="shared" si="21"/>
        <v>3212.4772500000004</v>
      </c>
      <c r="H289" s="347"/>
    </row>
    <row r="290" spans="1:8" ht="15.75" x14ac:dyDescent="0.25">
      <c r="A290" s="202" t="s">
        <v>230</v>
      </c>
      <c r="B290" s="278" t="s">
        <v>415</v>
      </c>
      <c r="C290" s="127"/>
      <c r="D290" s="127"/>
      <c r="E290" s="227"/>
      <c r="F290" s="127"/>
      <c r="G290" s="228"/>
      <c r="H290" s="347"/>
    </row>
    <row r="291" spans="1:8" ht="15.75" x14ac:dyDescent="0.25">
      <c r="A291" s="79" t="s">
        <v>89</v>
      </c>
      <c r="B291" s="48" t="s">
        <v>224</v>
      </c>
      <c r="C291" s="56" t="s">
        <v>411</v>
      </c>
      <c r="D291" s="127" t="str">
        <f>LUONGNGAY26[[#Headers],[KS1]]</f>
        <v>KS1</v>
      </c>
      <c r="E291" s="227">
        <f>'LUONGNGAY-TT26'!H35</f>
        <v>188969.25</v>
      </c>
      <c r="F291" s="127">
        <f>'LUONGNGAY-TT26'!I35</f>
        <v>4.0299999999999997E-3</v>
      </c>
      <c r="G291" s="228">
        <f t="shared" ref="G291:G298" si="22">E291*F291</f>
        <v>761.54607749999991</v>
      </c>
      <c r="H291" s="347"/>
    </row>
    <row r="292" spans="1:8" ht="15.75" x14ac:dyDescent="0.25">
      <c r="A292" s="79" t="s">
        <v>89</v>
      </c>
      <c r="B292" s="48" t="s">
        <v>225</v>
      </c>
      <c r="C292" s="56" t="s">
        <v>411</v>
      </c>
      <c r="D292" s="127" t="str">
        <f>LUONGNGAY26[[#Headers],[KS1]]</f>
        <v>KS1</v>
      </c>
      <c r="E292" s="227">
        <f>'LUONGNGAY-TT26'!H36</f>
        <v>188969.25</v>
      </c>
      <c r="F292" s="127">
        <f>'LUONGNGAY-TT26'!I36</f>
        <v>7.1500000000000001E-3</v>
      </c>
      <c r="G292" s="228">
        <f t="shared" si="22"/>
        <v>1351.1301375</v>
      </c>
      <c r="H292" s="347"/>
    </row>
    <row r="293" spans="1:8" ht="15.75" x14ac:dyDescent="0.25">
      <c r="A293" s="79" t="s">
        <v>89</v>
      </c>
      <c r="B293" s="48" t="s">
        <v>232</v>
      </c>
      <c r="C293" s="56" t="s">
        <v>412</v>
      </c>
      <c r="D293" s="127" t="str">
        <f>LUONGNGAY26[[#Headers],[KS1]]</f>
        <v>KS1</v>
      </c>
      <c r="E293" s="227">
        <f>'LUONGNGAY-TT26'!H37</f>
        <v>188969.25</v>
      </c>
      <c r="F293" s="127">
        <f>'LUONGNGAY-TT26'!I37</f>
        <v>7.3709999999999998E-2</v>
      </c>
      <c r="G293" s="228">
        <f t="shared" si="22"/>
        <v>13928.9234175</v>
      </c>
      <c r="H293" s="347"/>
    </row>
    <row r="294" spans="1:8" ht="15.75" x14ac:dyDescent="0.25">
      <c r="A294" s="79" t="s">
        <v>89</v>
      </c>
      <c r="B294" s="48" t="s">
        <v>233</v>
      </c>
      <c r="C294" s="56" t="s">
        <v>412</v>
      </c>
      <c r="D294" s="127" t="str">
        <f>LUONGNGAY26[[#Headers],[KS1]]</f>
        <v>KS1</v>
      </c>
      <c r="E294" s="227">
        <f>'LUONGNGAY-TT26'!H38</f>
        <v>188969.25</v>
      </c>
      <c r="F294" s="127">
        <f>'LUONGNGAY-TT26'!I38</f>
        <v>8.7099999999999997E-2</v>
      </c>
      <c r="G294" s="228">
        <f t="shared" si="22"/>
        <v>16459.221675000001</v>
      </c>
      <c r="H294" s="347"/>
    </row>
    <row r="295" spans="1:8" ht="31.5" x14ac:dyDescent="0.25">
      <c r="A295" s="79" t="s">
        <v>89</v>
      </c>
      <c r="B295" s="48" t="s">
        <v>226</v>
      </c>
      <c r="C295" s="56" t="s">
        <v>411</v>
      </c>
      <c r="D295" s="127" t="str">
        <f>LUONGNGAY26[[#Headers],[KS1]]</f>
        <v>KS1</v>
      </c>
      <c r="E295" s="227">
        <f>'LUONGNGAY-TT26'!H39</f>
        <v>188969.25</v>
      </c>
      <c r="F295" s="127">
        <f>'LUONGNGAY-TT26'!I39</f>
        <v>1.17E-3</v>
      </c>
      <c r="G295" s="228">
        <f t="shared" si="22"/>
        <v>221.09402249999999</v>
      </c>
      <c r="H295" s="347"/>
    </row>
    <row r="296" spans="1:8" ht="31.5" x14ac:dyDescent="0.25">
      <c r="A296" s="79" t="s">
        <v>89</v>
      </c>
      <c r="B296" s="48" t="s">
        <v>227</v>
      </c>
      <c r="C296" s="56" t="s">
        <v>411</v>
      </c>
      <c r="D296" s="127" t="str">
        <f>LUONGNGAY26[[#Headers],[KS1]]</f>
        <v>KS1</v>
      </c>
      <c r="E296" s="227">
        <f>'LUONGNGAY-TT26'!H40</f>
        <v>188969.25</v>
      </c>
      <c r="F296" s="127">
        <f>'LUONGNGAY-TT26'!I40</f>
        <v>1.9499999999999999E-3</v>
      </c>
      <c r="G296" s="228">
        <f t="shared" si="22"/>
        <v>368.49003749999997</v>
      </c>
      <c r="H296" s="347"/>
    </row>
    <row r="297" spans="1:8" ht="31.5" x14ac:dyDescent="0.25">
      <c r="A297" s="79" t="s">
        <v>89</v>
      </c>
      <c r="B297" s="48" t="s">
        <v>234</v>
      </c>
      <c r="C297" s="56" t="s">
        <v>412</v>
      </c>
      <c r="D297" s="127" t="str">
        <f>LUONGNGAY26[[#Headers],[KS1]]</f>
        <v>KS1</v>
      </c>
      <c r="E297" s="227">
        <f>'LUONGNGAY-TT26'!H41</f>
        <v>188969.25</v>
      </c>
      <c r="F297" s="127">
        <f>'LUONGNGAY-TT26'!I41</f>
        <v>1.8589999999999999E-2</v>
      </c>
      <c r="G297" s="228">
        <f t="shared" si="22"/>
        <v>3512.9383574999997</v>
      </c>
      <c r="H297" s="347"/>
    </row>
    <row r="298" spans="1:8" ht="31.5" x14ac:dyDescent="0.25">
      <c r="A298" s="79" t="s">
        <v>89</v>
      </c>
      <c r="B298" s="48" t="s">
        <v>227</v>
      </c>
      <c r="C298" s="56" t="s">
        <v>412</v>
      </c>
      <c r="D298" s="127" t="str">
        <f>LUONGNGAY26[[#Headers],[KS1]]</f>
        <v>KS1</v>
      </c>
      <c r="E298" s="227">
        <f>'LUONGNGAY-TT26'!H42</f>
        <v>188969.25</v>
      </c>
      <c r="F298" s="127">
        <f>'LUONGNGAY-TT26'!I42</f>
        <v>2.2100000000000002E-2</v>
      </c>
      <c r="G298" s="228">
        <f t="shared" si="22"/>
        <v>4176.2204250000004</v>
      </c>
      <c r="H298" s="347"/>
    </row>
    <row r="299" spans="1:8" ht="39" x14ac:dyDescent="0.25">
      <c r="A299" s="79" t="s">
        <v>166</v>
      </c>
      <c r="B299" s="48" t="s">
        <v>75</v>
      </c>
      <c r="C299" s="424"/>
      <c r="D299" s="422"/>
      <c r="E299" s="423"/>
      <c r="F299" s="422"/>
      <c r="G299" s="228"/>
      <c r="H299" s="347" t="s">
        <v>447</v>
      </c>
    </row>
    <row r="300" spans="1:8" ht="15.75" x14ac:dyDescent="0.25">
      <c r="A300" s="17" t="s">
        <v>89</v>
      </c>
      <c r="B300" s="251" t="s">
        <v>653</v>
      </c>
      <c r="C300" s="75" t="s">
        <v>323</v>
      </c>
      <c r="D300" s="47" t="str">
        <f>LUONGNGAY26[[#Headers],[KS1]]</f>
        <v>KS1</v>
      </c>
      <c r="E300" s="256">
        <f>'LUONGNGAY-TT26'!H13</f>
        <v>188969.25</v>
      </c>
      <c r="F300" s="47">
        <f>'LUONGNGAY-TT26'!I13</f>
        <v>2.5000000000000001E-3</v>
      </c>
      <c r="G300" s="257">
        <f>E300*F300</f>
        <v>472.42312500000003</v>
      </c>
      <c r="H300" s="347"/>
    </row>
    <row r="301" spans="1:8" ht="15.75" x14ac:dyDescent="0.25">
      <c r="A301" s="5" t="s">
        <v>89</v>
      </c>
      <c r="B301" s="251" t="s">
        <v>654</v>
      </c>
      <c r="C301" s="75" t="s">
        <v>646</v>
      </c>
      <c r="D301" s="47" t="str">
        <f>LUONGNGAY26[[#Headers],[KS1]]</f>
        <v>KS1</v>
      </c>
      <c r="E301" s="227"/>
      <c r="F301" s="127"/>
      <c r="G301" s="226">
        <f>G300*2</f>
        <v>944.84625000000005</v>
      </c>
      <c r="H301" s="238" t="s">
        <v>616</v>
      </c>
    </row>
    <row r="302" spans="1:8" ht="15.75" x14ac:dyDescent="0.25">
      <c r="A302" s="5" t="s">
        <v>89</v>
      </c>
      <c r="B302" s="251" t="s">
        <v>655</v>
      </c>
      <c r="C302" s="75" t="s">
        <v>647</v>
      </c>
      <c r="D302" s="47" t="str">
        <f>LUONGNGAY26[[#Headers],[KS1]]</f>
        <v>KS1</v>
      </c>
      <c r="E302" s="227"/>
      <c r="F302" s="127"/>
      <c r="G302" s="226">
        <f>G300*4</f>
        <v>1889.6925000000001</v>
      </c>
      <c r="H302" s="238" t="s">
        <v>650</v>
      </c>
    </row>
    <row r="303" spans="1:8" ht="15.75" x14ac:dyDescent="0.25">
      <c r="A303" s="5" t="s">
        <v>89</v>
      </c>
      <c r="B303" s="251" t="s">
        <v>656</v>
      </c>
      <c r="C303" s="75" t="s">
        <v>648</v>
      </c>
      <c r="D303" s="47" t="str">
        <f>LUONGNGAY26[[#Headers],[KS1]]</f>
        <v>KS1</v>
      </c>
      <c r="E303" s="227"/>
      <c r="F303" s="127"/>
      <c r="G303" s="226">
        <f>G300*8</f>
        <v>3779.3850000000002</v>
      </c>
      <c r="H303" s="238" t="s">
        <v>651</v>
      </c>
    </row>
    <row r="304" spans="1:8" ht="15.75" x14ac:dyDescent="0.25">
      <c r="A304" s="5" t="s">
        <v>89</v>
      </c>
      <c r="B304" s="251" t="s">
        <v>657</v>
      </c>
      <c r="C304" s="75" t="s">
        <v>649</v>
      </c>
      <c r="D304" s="47" t="str">
        <f>LUONGNGAY26[[#Headers],[KS1]]</f>
        <v>KS1</v>
      </c>
      <c r="E304" s="227"/>
      <c r="F304" s="127"/>
      <c r="G304" s="226">
        <f>G300*16</f>
        <v>7558.77</v>
      </c>
      <c r="H304" s="238" t="s">
        <v>652</v>
      </c>
    </row>
    <row r="305" spans="1:8" ht="31.5" x14ac:dyDescent="0.25">
      <c r="A305" s="79" t="s">
        <v>167</v>
      </c>
      <c r="B305" s="48" t="s">
        <v>76</v>
      </c>
      <c r="C305" s="127" t="s">
        <v>594</v>
      </c>
      <c r="D305" s="127" t="str">
        <f>VLOOKUP(A305,LUONGNGAY!$A$12:$K$90,11,0)</f>
        <v>KTV1</v>
      </c>
      <c r="E305" s="227">
        <f>VLOOKUP(A305,LUONGNGAY!$A$11:$O$90,15,0)</f>
        <v>131642</v>
      </c>
      <c r="F305" s="127">
        <v>0.72</v>
      </c>
      <c r="G305" s="228">
        <f t="shared" ref="G305" si="23">E305*F305</f>
        <v>94782.239999999991</v>
      </c>
      <c r="H305" s="259" t="s">
        <v>456</v>
      </c>
    </row>
    <row r="306" spans="1:8" ht="15.75" x14ac:dyDescent="0.25">
      <c r="A306" s="78" t="s">
        <v>173</v>
      </c>
      <c r="B306" s="148" t="s">
        <v>77</v>
      </c>
      <c r="C306" s="127"/>
      <c r="D306" s="127"/>
      <c r="E306" s="227"/>
      <c r="F306" s="127"/>
      <c r="G306" s="228"/>
      <c r="H306" s="259"/>
    </row>
    <row r="307" spans="1:8" ht="15.75" x14ac:dyDescent="0.25">
      <c r="A307" s="78"/>
      <c r="B307" s="278" t="s">
        <v>500</v>
      </c>
      <c r="C307" s="127"/>
      <c r="D307" s="127"/>
      <c r="E307" s="227"/>
      <c r="F307" s="127"/>
      <c r="G307" s="326">
        <f>SUM(G308:G311)</f>
        <v>165825.85</v>
      </c>
      <c r="H307" s="259"/>
    </row>
    <row r="308" spans="1:8" ht="15.75" x14ac:dyDescent="0.25">
      <c r="A308" s="79" t="s">
        <v>169</v>
      </c>
      <c r="B308" s="48" t="s">
        <v>78</v>
      </c>
      <c r="C308" s="127" t="s">
        <v>594</v>
      </c>
      <c r="D308" s="127" t="str">
        <f>VLOOKUP(A308,LUONGNGAY!$A$12:$K$90,11,0)</f>
        <v>KTV1+KS1</v>
      </c>
      <c r="E308" s="227">
        <f>VLOOKUP(A308,LUONGNGAY!$A$11:$O$90,15,0)</f>
        <v>297255</v>
      </c>
      <c r="F308" s="127">
        <v>0.4</v>
      </c>
      <c r="G308" s="228">
        <f t="shared" ref="G308" si="24">E308*F308</f>
        <v>118902</v>
      </c>
      <c r="H308" s="259" t="s">
        <v>454</v>
      </c>
    </row>
    <row r="309" spans="1:8" ht="31.5" x14ac:dyDescent="0.25">
      <c r="A309" s="79" t="s">
        <v>170</v>
      </c>
      <c r="B309" s="48" t="s">
        <v>79</v>
      </c>
      <c r="C309" s="127"/>
      <c r="D309" s="127"/>
      <c r="E309" s="227"/>
      <c r="F309" s="127"/>
      <c r="G309" s="228"/>
      <c r="H309" s="266" t="s">
        <v>54</v>
      </c>
    </row>
    <row r="310" spans="1:8" ht="47.25" x14ac:dyDescent="0.25">
      <c r="A310" s="79" t="s">
        <v>171</v>
      </c>
      <c r="B310" s="48" t="s">
        <v>80</v>
      </c>
      <c r="C310" s="127" t="s">
        <v>594</v>
      </c>
      <c r="D310" s="127" t="str">
        <f>VLOOKUP(A310,LUONGNGAY!$A$12:$K$90,11,0)</f>
        <v>KTV1+KS1</v>
      </c>
      <c r="E310" s="227">
        <f>VLOOKUP(A310,LUONGNGAY!$A$11:$O$90,15,0)</f>
        <v>297255</v>
      </c>
      <c r="F310" s="127">
        <v>0.05</v>
      </c>
      <c r="G310" s="228">
        <f t="shared" ref="G310" si="25">E310*F310</f>
        <v>14862.75</v>
      </c>
      <c r="H310" s="259" t="s">
        <v>454</v>
      </c>
    </row>
    <row r="311" spans="1:8" ht="25.5" x14ac:dyDescent="0.25">
      <c r="A311" s="79" t="s">
        <v>172</v>
      </c>
      <c r="B311" s="48" t="s">
        <v>81</v>
      </c>
      <c r="C311" s="127" t="str">
        <f>C150</f>
        <v>Công nhóm/Báo cáo</v>
      </c>
      <c r="D311" s="127" t="str">
        <f>$D$150</f>
        <v>KTV1+KS2</v>
      </c>
      <c r="E311" s="227"/>
      <c r="F311" s="127"/>
      <c r="G311" s="228">
        <f>$G$150</f>
        <v>32061.100000000002</v>
      </c>
      <c r="H311" s="189" t="s">
        <v>328</v>
      </c>
    </row>
    <row r="312" spans="1:8" ht="15.75" x14ac:dyDescent="0.25">
      <c r="A312" s="78"/>
      <c r="B312" s="278" t="s">
        <v>501</v>
      </c>
      <c r="C312" s="127"/>
      <c r="D312" s="127"/>
      <c r="E312" s="227"/>
      <c r="F312" s="127"/>
      <c r="G312" s="326">
        <f>SUM(G313:G316)</f>
        <v>147098.785</v>
      </c>
      <c r="H312" s="330">
        <v>0.86</v>
      </c>
    </row>
    <row r="313" spans="1:8" ht="15.75" x14ac:dyDescent="0.25">
      <c r="A313" s="79" t="s">
        <v>169</v>
      </c>
      <c r="B313" s="48" t="s">
        <v>78</v>
      </c>
      <c r="C313" s="127" t="s">
        <v>594</v>
      </c>
      <c r="D313" s="127" t="str">
        <f>VLOOKUP(A313,LUONGNGAY!$A$12:$K$90,11,0)</f>
        <v>KTV1+KS1</v>
      </c>
      <c r="E313" s="227"/>
      <c r="F313" s="127"/>
      <c r="G313" s="228">
        <f>G308*0.86</f>
        <v>102255.72</v>
      </c>
      <c r="H313" s="259"/>
    </row>
    <row r="314" spans="1:8" ht="31.5" x14ac:dyDescent="0.25">
      <c r="A314" s="79" t="s">
        <v>170</v>
      </c>
      <c r="B314" s="48" t="s">
        <v>79</v>
      </c>
      <c r="C314" s="127"/>
      <c r="D314" s="127"/>
      <c r="E314" s="227"/>
      <c r="F314" s="127"/>
      <c r="G314" s="228"/>
      <c r="H314" s="266" t="s">
        <v>54</v>
      </c>
    </row>
    <row r="315" spans="1:8" ht="47.25" x14ac:dyDescent="0.25">
      <c r="A315" s="79" t="s">
        <v>171</v>
      </c>
      <c r="B315" s="48" t="s">
        <v>80</v>
      </c>
      <c r="C315" s="127" t="s">
        <v>594</v>
      </c>
      <c r="D315" s="127" t="str">
        <f>VLOOKUP(A315,LUONGNGAY!$A$12:$K$90,11,0)</f>
        <v>KTV1+KS1</v>
      </c>
      <c r="E315" s="227"/>
      <c r="F315" s="127"/>
      <c r="G315" s="228">
        <f>G310*0.86</f>
        <v>12781.965</v>
      </c>
      <c r="H315" s="259"/>
    </row>
    <row r="316" spans="1:8" ht="25.5" x14ac:dyDescent="0.25">
      <c r="A316" s="79" t="s">
        <v>172</v>
      </c>
      <c r="B316" s="48" t="s">
        <v>81</v>
      </c>
      <c r="C316" s="127" t="str">
        <f>C155</f>
        <v>Công nhóm/m2 kho</v>
      </c>
      <c r="D316" s="127" t="str">
        <f>$D$150</f>
        <v>KTV1+KS2</v>
      </c>
      <c r="E316" s="227"/>
      <c r="F316" s="127"/>
      <c r="G316" s="228">
        <f>$G$150</f>
        <v>32061.100000000002</v>
      </c>
      <c r="H316" s="189" t="s">
        <v>328</v>
      </c>
    </row>
    <row r="317" spans="1:8" ht="15.75" x14ac:dyDescent="0.25">
      <c r="A317" s="78" t="s">
        <v>82</v>
      </c>
      <c r="B317" s="148" t="s">
        <v>84</v>
      </c>
      <c r="C317" s="127"/>
      <c r="D317" s="127"/>
      <c r="E317" s="227"/>
      <c r="F317" s="127"/>
      <c r="G317" s="228"/>
      <c r="H317" s="259"/>
    </row>
    <row r="318" spans="1:8" ht="15.75" x14ac:dyDescent="0.25">
      <c r="A318" s="78" t="s">
        <v>174</v>
      </c>
      <c r="B318" s="148" t="s">
        <v>93</v>
      </c>
      <c r="C318" s="127"/>
      <c r="D318" s="127"/>
      <c r="E318" s="227"/>
      <c r="F318" s="127"/>
      <c r="G318" s="228"/>
      <c r="H318" s="259" t="s">
        <v>458</v>
      </c>
    </row>
    <row r="319" spans="1:8" ht="15.75" x14ac:dyDescent="0.25">
      <c r="A319" s="79" t="s">
        <v>175</v>
      </c>
      <c r="B319" s="48" t="s">
        <v>85</v>
      </c>
      <c r="C319" s="127" t="s">
        <v>596</v>
      </c>
      <c r="D319" s="127" t="str">
        <f>VLOOKUP(A319,LUONGNGAY!$A$12:$K$90,11,0)</f>
        <v>KTV6</v>
      </c>
      <c r="E319" s="227">
        <f>VLOOKUP(A319,LUONGNGAY!$A$11:$O$90,15,0)</f>
        <v>202417</v>
      </c>
      <c r="F319" s="127">
        <v>8.0000000000000002E-3</v>
      </c>
      <c r="G319" s="228">
        <f t="shared" ref="G319" si="26">E319*F319</f>
        <v>1619.336</v>
      </c>
      <c r="H319" s="259"/>
    </row>
    <row r="320" spans="1:8" ht="15.75" x14ac:dyDescent="0.25">
      <c r="A320" s="79" t="s">
        <v>176</v>
      </c>
      <c r="B320" s="48" t="s">
        <v>86</v>
      </c>
      <c r="C320" s="127"/>
      <c r="D320" s="127"/>
      <c r="E320" s="227"/>
      <c r="F320" s="127"/>
      <c r="G320" s="228"/>
      <c r="H320" s="259"/>
    </row>
    <row r="321" spans="1:8" ht="15.75" x14ac:dyDescent="0.25">
      <c r="A321" s="77" t="s">
        <v>558</v>
      </c>
      <c r="B321" s="252" t="s">
        <v>90</v>
      </c>
      <c r="C321" s="47" t="s">
        <v>593</v>
      </c>
      <c r="D321" s="47" t="str">
        <f>VLOOKUP(A321,LUONGNGAY!$A$12:$K$90,11,0)</f>
        <v>KTV6</v>
      </c>
      <c r="E321" s="256">
        <f>VLOOKUP(A321,LUONGNGAY!$A$11:$O$90,15,0)</f>
        <v>202417</v>
      </c>
      <c r="F321" s="47">
        <v>4.5999999999999999E-2</v>
      </c>
      <c r="G321" s="257">
        <f t="shared" ref="G321:G324" si="27">E321*F321</f>
        <v>9311.1820000000007</v>
      </c>
      <c r="H321" s="259"/>
    </row>
    <row r="322" spans="1:8" ht="15.75" x14ac:dyDescent="0.25">
      <c r="A322" s="77" t="s">
        <v>559</v>
      </c>
      <c r="B322" s="252" t="s">
        <v>91</v>
      </c>
      <c r="C322" s="47" t="s">
        <v>412</v>
      </c>
      <c r="D322" s="47" t="str">
        <f>VLOOKUP(A322,LUONGNGAY!$A$12:$K$90,11,0)</f>
        <v>KTV6</v>
      </c>
      <c r="E322" s="256">
        <f>VLOOKUP(A322,LUONGNGAY!$A$11:$O$90,15,0)</f>
        <v>202417</v>
      </c>
      <c r="F322" s="47">
        <v>1.78E-2</v>
      </c>
      <c r="G322" s="257">
        <f t="shared" si="27"/>
        <v>3603.0225999999998</v>
      </c>
      <c r="H322" s="259"/>
    </row>
    <row r="323" spans="1:8" ht="15.75" x14ac:dyDescent="0.25">
      <c r="A323" s="77" t="s">
        <v>560</v>
      </c>
      <c r="B323" s="252" t="s">
        <v>92</v>
      </c>
      <c r="C323" s="47" t="s">
        <v>411</v>
      </c>
      <c r="D323" s="47" t="str">
        <f>VLOOKUP(A323,LUONGNGAY!$A$12:$K$90,11,0)</f>
        <v>KTV6</v>
      </c>
      <c r="E323" s="256">
        <f>VLOOKUP(A323,LUONGNGAY!$A$11:$O$90,15,0)</f>
        <v>202417</v>
      </c>
      <c r="F323" s="47">
        <v>1.2999999999999999E-4</v>
      </c>
      <c r="G323" s="257">
        <f t="shared" si="27"/>
        <v>26.314209999999999</v>
      </c>
      <c r="H323" s="259"/>
    </row>
    <row r="324" spans="1:8" ht="15.75" x14ac:dyDescent="0.25">
      <c r="A324" s="79" t="s">
        <v>180</v>
      </c>
      <c r="B324" s="48" t="s">
        <v>87</v>
      </c>
      <c r="C324" s="127" t="s">
        <v>596</v>
      </c>
      <c r="D324" s="127" t="str">
        <f>VLOOKUP(A324,LUONGNGAY!$A$12:$K$90,11,0)</f>
        <v>KTV6</v>
      </c>
      <c r="E324" s="227">
        <f>VLOOKUP(A324,LUONGNGAY!$A$11:$O$90,15,0)</f>
        <v>202417</v>
      </c>
      <c r="F324" s="127">
        <v>7.4000000000000003E-3</v>
      </c>
      <c r="G324" s="228">
        <f t="shared" si="27"/>
        <v>1497.8858</v>
      </c>
      <c r="H324" s="259"/>
    </row>
    <row r="325" spans="1:8" ht="15.75" x14ac:dyDescent="0.25">
      <c r="A325" s="79" t="s">
        <v>181</v>
      </c>
      <c r="B325" s="48" t="s">
        <v>88</v>
      </c>
      <c r="C325" s="127"/>
      <c r="D325" s="127"/>
      <c r="E325" s="227"/>
      <c r="F325" s="127"/>
      <c r="G325" s="228"/>
      <c r="H325" s="259" t="s">
        <v>54</v>
      </c>
    </row>
    <row r="326" spans="1:8" ht="15.75" x14ac:dyDescent="0.25">
      <c r="A326" s="78" t="s">
        <v>177</v>
      </c>
      <c r="B326" s="148" t="s">
        <v>94</v>
      </c>
      <c r="C326" s="127"/>
      <c r="D326" s="127"/>
      <c r="E326" s="227"/>
      <c r="F326" s="127"/>
      <c r="G326" s="228"/>
      <c r="H326" s="241">
        <v>0.82</v>
      </c>
    </row>
    <row r="327" spans="1:8" ht="15.75" x14ac:dyDescent="0.25">
      <c r="A327" s="79" t="s">
        <v>178</v>
      </c>
      <c r="B327" s="48" t="s">
        <v>85</v>
      </c>
      <c r="C327" s="127" t="s">
        <v>596</v>
      </c>
      <c r="D327" s="127"/>
      <c r="E327" s="227"/>
      <c r="F327" s="127"/>
      <c r="G327" s="228">
        <f>G319*0.82</f>
        <v>1327.8555199999998</v>
      </c>
      <c r="H327" s="259"/>
    </row>
    <row r="328" spans="1:8" ht="15.75" x14ac:dyDescent="0.25">
      <c r="A328" s="79" t="s">
        <v>179</v>
      </c>
      <c r="B328" s="48" t="s">
        <v>86</v>
      </c>
      <c r="C328" s="127"/>
      <c r="D328" s="127"/>
      <c r="E328" s="227"/>
      <c r="F328" s="127"/>
      <c r="G328" s="228"/>
      <c r="H328" s="259"/>
    </row>
    <row r="329" spans="1:8" ht="15.75" x14ac:dyDescent="0.25">
      <c r="A329" s="77" t="s">
        <v>552</v>
      </c>
      <c r="B329" s="252" t="s">
        <v>90</v>
      </c>
      <c r="C329" s="47" t="s">
        <v>593</v>
      </c>
      <c r="D329" s="47"/>
      <c r="E329" s="256"/>
      <c r="F329" s="47"/>
      <c r="G329" s="228">
        <f t="shared" ref="G329:G331" si="28">G321*0.82</f>
        <v>7635.1692400000002</v>
      </c>
      <c r="H329" s="259"/>
    </row>
    <row r="330" spans="1:8" ht="15.75" x14ac:dyDescent="0.25">
      <c r="A330" s="77" t="s">
        <v>553</v>
      </c>
      <c r="B330" s="252" t="s">
        <v>91</v>
      </c>
      <c r="C330" s="47" t="s">
        <v>412</v>
      </c>
      <c r="D330" s="47"/>
      <c r="E330" s="256"/>
      <c r="F330" s="47"/>
      <c r="G330" s="228">
        <f t="shared" si="28"/>
        <v>2954.4785319999996</v>
      </c>
      <c r="H330" s="259"/>
    </row>
    <row r="331" spans="1:8" ht="15.75" x14ac:dyDescent="0.25">
      <c r="A331" s="77" t="s">
        <v>554</v>
      </c>
      <c r="B331" s="252" t="s">
        <v>92</v>
      </c>
      <c r="C331" s="47" t="s">
        <v>411</v>
      </c>
      <c r="D331" s="47"/>
      <c r="E331" s="256"/>
      <c r="F331" s="47"/>
      <c r="G331" s="228">
        <f t="shared" si="28"/>
        <v>21.577652199999999</v>
      </c>
      <c r="H331" s="259"/>
    </row>
    <row r="332" spans="1:8" ht="15.75" x14ac:dyDescent="0.25">
      <c r="A332" s="79" t="s">
        <v>182</v>
      </c>
      <c r="B332" s="48" t="s">
        <v>87</v>
      </c>
      <c r="C332" s="127" t="s">
        <v>596</v>
      </c>
      <c r="D332" s="127"/>
      <c r="E332" s="227"/>
      <c r="F332" s="127"/>
      <c r="G332" s="228">
        <f>G324*0.82</f>
        <v>1228.2663559999999</v>
      </c>
      <c r="H332" s="259"/>
    </row>
    <row r="333" spans="1:8" ht="15.75" x14ac:dyDescent="0.25">
      <c r="A333" s="79" t="s">
        <v>183</v>
      </c>
      <c r="B333" s="48" t="s">
        <v>88</v>
      </c>
      <c r="C333" s="127"/>
      <c r="D333" s="127"/>
      <c r="E333" s="227"/>
      <c r="F333" s="127"/>
      <c r="G333" s="228">
        <f>G325*0.82</f>
        <v>0</v>
      </c>
      <c r="H333" s="259" t="s">
        <v>54</v>
      </c>
    </row>
    <row r="334" spans="1:8" ht="31.5" x14ac:dyDescent="0.25">
      <c r="A334" s="269" t="s">
        <v>184</v>
      </c>
      <c r="B334" s="270" t="s">
        <v>95</v>
      </c>
      <c r="C334" s="242"/>
      <c r="D334" s="242"/>
      <c r="E334" s="267"/>
      <c r="F334" s="242"/>
      <c r="G334" s="268"/>
      <c r="H334" s="303">
        <v>1.05</v>
      </c>
    </row>
    <row r="335" spans="1:8" ht="15.75" x14ac:dyDescent="0.25">
      <c r="A335" s="79" t="s">
        <v>185</v>
      </c>
      <c r="B335" s="48" t="s">
        <v>85</v>
      </c>
      <c r="C335" s="127" t="s">
        <v>596</v>
      </c>
      <c r="D335" s="127"/>
      <c r="E335" s="227"/>
      <c r="F335" s="127"/>
      <c r="G335" s="228">
        <f>G319*1.05</f>
        <v>1700.3028000000002</v>
      </c>
      <c r="H335" s="259"/>
    </row>
    <row r="336" spans="1:8" ht="15.75" x14ac:dyDescent="0.25">
      <c r="A336" s="79" t="s">
        <v>186</v>
      </c>
      <c r="B336" s="48" t="s">
        <v>86</v>
      </c>
      <c r="C336" s="127"/>
      <c r="D336" s="127"/>
      <c r="E336" s="227"/>
      <c r="F336" s="127"/>
      <c r="G336" s="228"/>
      <c r="H336" s="259"/>
    </row>
    <row r="337" spans="1:8" ht="15.75" x14ac:dyDescent="0.25">
      <c r="A337" s="196" t="s">
        <v>555</v>
      </c>
      <c r="B337" s="252" t="s">
        <v>90</v>
      </c>
      <c r="C337" s="47" t="s">
        <v>593</v>
      </c>
      <c r="D337" s="47"/>
      <c r="E337" s="256"/>
      <c r="F337" s="47"/>
      <c r="G337" s="228">
        <f t="shared" ref="G337:G341" si="29">G321*1.05</f>
        <v>9776.7411000000011</v>
      </c>
      <c r="H337" s="259"/>
    </row>
    <row r="338" spans="1:8" ht="15.75" x14ac:dyDescent="0.25">
      <c r="A338" s="196" t="s">
        <v>556</v>
      </c>
      <c r="B338" s="252" t="s">
        <v>91</v>
      </c>
      <c r="C338" s="47" t="s">
        <v>412</v>
      </c>
      <c r="D338" s="47"/>
      <c r="E338" s="256"/>
      <c r="F338" s="47"/>
      <c r="G338" s="228">
        <f t="shared" si="29"/>
        <v>3783.17373</v>
      </c>
      <c r="H338" s="259"/>
    </row>
    <row r="339" spans="1:8" ht="15.75" x14ac:dyDescent="0.25">
      <c r="A339" s="196" t="s">
        <v>557</v>
      </c>
      <c r="B339" s="252" t="s">
        <v>92</v>
      </c>
      <c r="C339" s="47" t="s">
        <v>411</v>
      </c>
      <c r="D339" s="47"/>
      <c r="E339" s="256"/>
      <c r="F339" s="47"/>
      <c r="G339" s="228">
        <f t="shared" si="29"/>
        <v>27.629920500000001</v>
      </c>
      <c r="H339" s="259"/>
    </row>
    <row r="340" spans="1:8" ht="15.75" x14ac:dyDescent="0.25">
      <c r="A340" s="79" t="s">
        <v>187</v>
      </c>
      <c r="B340" s="48" t="s">
        <v>87</v>
      </c>
      <c r="C340" s="127" t="s">
        <v>596</v>
      </c>
      <c r="D340" s="127"/>
      <c r="E340" s="227"/>
      <c r="F340" s="127"/>
      <c r="G340" s="228">
        <f t="shared" si="29"/>
        <v>1572.78009</v>
      </c>
      <c r="H340" s="259"/>
    </row>
    <row r="341" spans="1:8" ht="15.75" x14ac:dyDescent="0.25">
      <c r="A341" s="116" t="s">
        <v>188</v>
      </c>
      <c r="B341" s="48" t="s">
        <v>88</v>
      </c>
      <c r="C341" s="127"/>
      <c r="D341" s="127"/>
      <c r="E341" s="227"/>
      <c r="F341" s="127"/>
      <c r="G341" s="228">
        <f t="shared" si="29"/>
        <v>0</v>
      </c>
      <c r="H341" s="259" t="s">
        <v>54</v>
      </c>
    </row>
    <row r="342" spans="1:8" ht="31.5" x14ac:dyDescent="0.25">
      <c r="A342" s="269" t="s">
        <v>617</v>
      </c>
      <c r="B342" s="383" t="s">
        <v>618</v>
      </c>
      <c r="C342" s="47"/>
      <c r="D342" s="127"/>
      <c r="E342" s="227"/>
      <c r="F342" s="127"/>
      <c r="G342" s="419"/>
      <c r="H342" s="259"/>
    </row>
    <row r="343" spans="1:8" ht="15.75" x14ac:dyDescent="0.25">
      <c r="A343" s="79" t="s">
        <v>619</v>
      </c>
      <c r="B343" s="48" t="s">
        <v>85</v>
      </c>
      <c r="C343" s="47" t="s">
        <v>596</v>
      </c>
      <c r="D343" s="127"/>
      <c r="E343" s="227"/>
      <c r="F343" s="127"/>
      <c r="G343" s="419">
        <f>G319*0.79</f>
        <v>1279.2754400000001</v>
      </c>
      <c r="H343" s="282">
        <v>0.79</v>
      </c>
    </row>
    <row r="344" spans="1:8" ht="15.75" x14ac:dyDescent="0.25">
      <c r="A344" s="79" t="s">
        <v>620</v>
      </c>
      <c r="B344" s="48" t="s">
        <v>86</v>
      </c>
      <c r="C344" s="47"/>
      <c r="D344" s="127"/>
      <c r="E344" s="227"/>
      <c r="F344" s="127"/>
      <c r="G344" s="419"/>
      <c r="H344" s="259"/>
    </row>
    <row r="345" spans="1:8" ht="15.75" x14ac:dyDescent="0.25">
      <c r="A345" s="196" t="s">
        <v>621</v>
      </c>
      <c r="B345" s="252" t="s">
        <v>90</v>
      </c>
      <c r="C345" s="47" t="s">
        <v>593</v>
      </c>
      <c r="D345" s="127"/>
      <c r="E345" s="227"/>
      <c r="F345" s="127"/>
      <c r="G345" s="391">
        <f t="shared" ref="G345:G349" si="30">G321*0.79</f>
        <v>7355.8337800000008</v>
      </c>
      <c r="H345" s="259"/>
    </row>
    <row r="346" spans="1:8" ht="15.75" x14ac:dyDescent="0.25">
      <c r="A346" s="196" t="s">
        <v>622</v>
      </c>
      <c r="B346" s="252" t="s">
        <v>91</v>
      </c>
      <c r="C346" s="47" t="s">
        <v>412</v>
      </c>
      <c r="D346" s="127"/>
      <c r="E346" s="227"/>
      <c r="F346" s="127"/>
      <c r="G346" s="391">
        <f t="shared" si="30"/>
        <v>2846.3878540000001</v>
      </c>
      <c r="H346" s="259"/>
    </row>
    <row r="347" spans="1:8" ht="15.75" x14ac:dyDescent="0.25">
      <c r="A347" s="196" t="s">
        <v>623</v>
      </c>
      <c r="B347" s="252" t="s">
        <v>92</v>
      </c>
      <c r="C347" s="47" t="s">
        <v>411</v>
      </c>
      <c r="D347" s="127"/>
      <c r="E347" s="227"/>
      <c r="F347" s="127"/>
      <c r="G347" s="391">
        <f t="shared" si="30"/>
        <v>20.7882259</v>
      </c>
      <c r="H347" s="259"/>
    </row>
    <row r="348" spans="1:8" ht="15.75" x14ac:dyDescent="0.25">
      <c r="A348" s="79" t="s">
        <v>624</v>
      </c>
      <c r="B348" s="48" t="s">
        <v>87</v>
      </c>
      <c r="C348" s="47" t="s">
        <v>596</v>
      </c>
      <c r="D348" s="127"/>
      <c r="E348" s="227"/>
      <c r="F348" s="127"/>
      <c r="G348" s="419">
        <f t="shared" si="30"/>
        <v>1183.329782</v>
      </c>
      <c r="H348" s="259"/>
    </row>
    <row r="349" spans="1:8" ht="15.75" x14ac:dyDescent="0.25">
      <c r="A349" s="116" t="s">
        <v>625</v>
      </c>
      <c r="B349" s="117" t="s">
        <v>88</v>
      </c>
      <c r="C349" s="274"/>
      <c r="D349" s="242"/>
      <c r="E349" s="267"/>
      <c r="F349" s="242"/>
      <c r="G349" s="419">
        <f t="shared" si="30"/>
        <v>0</v>
      </c>
      <c r="H349" s="259" t="s">
        <v>54</v>
      </c>
    </row>
  </sheetData>
  <mergeCells count="4">
    <mergeCell ref="A1:H1"/>
    <mergeCell ref="A2:H2"/>
    <mergeCell ref="A3:H3"/>
    <mergeCell ref="A4:H4"/>
  </mergeCells>
  <pageMargins left="0.7" right="0.7" top="0.75" bottom="0.75" header="0.3" footer="0.3"/>
  <pageSetup paperSize="9" orientation="portrait"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P106"/>
  <sheetViews>
    <sheetView zoomScale="85" zoomScaleNormal="85" workbookViewId="0">
      <pane xSplit="2" ySplit="10" topLeftCell="C74" activePane="bottomRight" state="frozen"/>
      <selection pane="topRight" activeCell="C1" sqref="C1"/>
      <selection pane="bottomLeft" activeCell="A9" sqref="A9"/>
      <selection pane="bottomRight" activeCell="A5" sqref="A5"/>
    </sheetView>
  </sheetViews>
  <sheetFormatPr defaultRowHeight="15" x14ac:dyDescent="0.25"/>
  <cols>
    <col min="1" max="1" width="10.5703125" style="27" bestFit="1" customWidth="1"/>
    <col min="2" max="2" width="56.28515625" style="27" customWidth="1"/>
    <col min="3" max="4" width="12.140625" style="52" customWidth="1"/>
    <col min="5" max="5" width="13.85546875" style="52" customWidth="1"/>
    <col min="6" max="8" width="12.140625" style="52" customWidth="1"/>
    <col min="9" max="9" width="12.140625" style="52" bestFit="1" customWidth="1"/>
    <col min="10" max="10" width="12.140625" style="52" customWidth="1"/>
    <col min="11" max="11" width="19.140625" style="52" customWidth="1"/>
    <col min="12" max="12" width="15.42578125" style="52" bestFit="1" customWidth="1"/>
    <col min="13" max="13" width="17.28515625" style="52" bestFit="1" customWidth="1"/>
    <col min="14" max="14" width="16.42578125" style="52" customWidth="1"/>
    <col min="15" max="15" width="15.28515625" style="52" customWidth="1"/>
    <col min="16" max="16" width="38.28515625" style="52" customWidth="1"/>
    <col min="17" max="16384" width="9.140625" style="27"/>
  </cols>
  <sheetData>
    <row r="1" spans="1:16" ht="15.75" x14ac:dyDescent="0.25">
      <c r="A1" s="454" t="s">
        <v>608</v>
      </c>
      <c r="B1" s="454"/>
      <c r="C1" s="454"/>
      <c r="D1" s="454"/>
      <c r="E1" s="454"/>
      <c r="F1" s="454"/>
      <c r="G1" s="454"/>
      <c r="H1" s="454"/>
      <c r="I1" s="454"/>
      <c r="J1" s="454"/>
      <c r="K1" s="454"/>
      <c r="L1" s="454"/>
      <c r="M1" s="454"/>
      <c r="N1" s="454"/>
      <c r="O1" s="454"/>
      <c r="P1" s="454"/>
    </row>
    <row r="2" spans="1:16" ht="15.75" x14ac:dyDescent="0.25">
      <c r="A2" s="456" t="s">
        <v>55</v>
      </c>
      <c r="B2" s="456"/>
      <c r="C2" s="456"/>
      <c r="D2" s="456"/>
      <c r="E2" s="456"/>
      <c r="F2" s="456"/>
      <c r="G2" s="456"/>
      <c r="H2" s="456"/>
      <c r="I2" s="456"/>
      <c r="J2" s="456"/>
      <c r="K2" s="456"/>
      <c r="L2" s="456"/>
      <c r="M2" s="456"/>
      <c r="N2" s="456"/>
      <c r="O2" s="456"/>
      <c r="P2" s="456"/>
    </row>
    <row r="3" spans="1:16" ht="15.75" x14ac:dyDescent="0.25">
      <c r="A3" s="455" t="s">
        <v>609</v>
      </c>
      <c r="B3" s="455"/>
      <c r="C3" s="455"/>
      <c r="D3" s="455"/>
      <c r="E3" s="455"/>
      <c r="F3" s="455"/>
      <c r="G3" s="455"/>
      <c r="H3" s="455"/>
      <c r="I3" s="455"/>
      <c r="J3" s="455"/>
      <c r="K3" s="455"/>
      <c r="L3" s="455"/>
      <c r="M3" s="455"/>
      <c r="N3" s="455"/>
      <c r="O3" s="455"/>
      <c r="P3" s="455"/>
    </row>
    <row r="4" spans="1:16" ht="15.75" customHeight="1" x14ac:dyDescent="0.25">
      <c r="A4" s="457" t="s">
        <v>664</v>
      </c>
      <c r="B4" s="457"/>
      <c r="C4" s="457"/>
      <c r="D4" s="457"/>
      <c r="E4" s="457"/>
      <c r="F4" s="457"/>
      <c r="G4" s="457"/>
      <c r="H4" s="457"/>
      <c r="I4" s="457"/>
      <c r="J4" s="457"/>
      <c r="K4" s="457"/>
      <c r="L4" s="457"/>
      <c r="M4" s="457"/>
      <c r="N4" s="457"/>
      <c r="O4" s="457"/>
      <c r="P4" s="457"/>
    </row>
    <row r="5" spans="1:16" ht="15.75" x14ac:dyDescent="0.25">
      <c r="C5" s="27"/>
      <c r="D5" s="27"/>
      <c r="E5" s="27"/>
      <c r="F5" s="27"/>
      <c r="G5" s="27"/>
      <c r="H5" s="27"/>
      <c r="I5" s="38"/>
      <c r="J5" s="38"/>
      <c r="K5" s="38"/>
      <c r="L5" s="38"/>
      <c r="M5" s="38"/>
      <c r="N5" s="38"/>
      <c r="O5" s="38"/>
      <c r="P5" s="43">
        <v>1490000</v>
      </c>
    </row>
    <row r="6" spans="1:16" ht="15.75" x14ac:dyDescent="0.25">
      <c r="A6" s="38"/>
      <c r="B6" s="39"/>
      <c r="C6" s="38"/>
      <c r="D6" s="38"/>
      <c r="E6" s="38"/>
      <c r="F6" s="38"/>
      <c r="G6" s="38"/>
      <c r="H6" s="38"/>
      <c r="I6" s="38"/>
      <c r="J6" s="38"/>
      <c r="K6" s="38"/>
      <c r="L6" s="38"/>
      <c r="M6" s="38"/>
      <c r="N6" s="38"/>
      <c r="O6" s="38"/>
      <c r="P6" s="40" t="s">
        <v>1</v>
      </c>
    </row>
    <row r="7" spans="1:16" ht="31.5" x14ac:dyDescent="0.25">
      <c r="A7" s="112" t="s">
        <v>2</v>
      </c>
      <c r="B7" s="113" t="s">
        <v>375</v>
      </c>
      <c r="C7" s="113" t="s">
        <v>404</v>
      </c>
      <c r="D7" s="113" t="s">
        <v>428</v>
      </c>
      <c r="E7" s="113" t="s">
        <v>418</v>
      </c>
      <c r="F7" s="113" t="s">
        <v>400</v>
      </c>
      <c r="G7" s="113" t="s">
        <v>401</v>
      </c>
      <c r="H7" s="113" t="s">
        <v>417</v>
      </c>
      <c r="I7" s="113" t="s">
        <v>402</v>
      </c>
      <c r="J7" s="113" t="s">
        <v>419</v>
      </c>
      <c r="K7" s="119" t="s">
        <v>377</v>
      </c>
      <c r="L7" s="119" t="s">
        <v>384</v>
      </c>
      <c r="M7" s="113" t="s">
        <v>376</v>
      </c>
      <c r="N7" s="114" t="s">
        <v>383</v>
      </c>
      <c r="O7" s="114" t="s">
        <v>388</v>
      </c>
      <c r="P7" s="115" t="s">
        <v>53</v>
      </c>
    </row>
    <row r="8" spans="1:16" ht="15.75" x14ac:dyDescent="0.25">
      <c r="A8" s="125"/>
      <c r="B8" s="44" t="s">
        <v>378</v>
      </c>
      <c r="C8" s="44">
        <v>1.86</v>
      </c>
      <c r="D8" s="44">
        <v>2.06</v>
      </c>
      <c r="E8" s="44">
        <v>2.86</v>
      </c>
      <c r="F8" s="44">
        <v>2.34</v>
      </c>
      <c r="G8" s="44">
        <v>2.67</v>
      </c>
      <c r="H8" s="305">
        <v>3</v>
      </c>
      <c r="I8" s="44">
        <v>3.33</v>
      </c>
      <c r="J8" s="44">
        <v>4.32</v>
      </c>
      <c r="K8" s="45"/>
      <c r="L8" s="45" t="s">
        <v>387</v>
      </c>
      <c r="M8" s="44" t="s">
        <v>379</v>
      </c>
      <c r="N8" s="41">
        <v>0.23499999999999999</v>
      </c>
      <c r="O8" s="41" t="s">
        <v>385</v>
      </c>
      <c r="P8" s="218"/>
    </row>
    <row r="9" spans="1:16" ht="15.75" x14ac:dyDescent="0.25">
      <c r="A9" s="214"/>
      <c r="B9" s="44" t="s">
        <v>386</v>
      </c>
      <c r="C9" s="46">
        <f t="shared" ref="C9:J9" si="0">C8*$P$5</f>
        <v>2771400</v>
      </c>
      <c r="D9" s="46">
        <f t="shared" si="0"/>
        <v>3069400</v>
      </c>
      <c r="E9" s="46">
        <f t="shared" si="0"/>
        <v>4261400</v>
      </c>
      <c r="F9" s="46">
        <f t="shared" si="0"/>
        <v>3486600</v>
      </c>
      <c r="G9" s="46">
        <f t="shared" si="0"/>
        <v>3978300</v>
      </c>
      <c r="H9" s="46">
        <f t="shared" si="0"/>
        <v>4470000</v>
      </c>
      <c r="I9" s="46">
        <f t="shared" si="0"/>
        <v>4961700</v>
      </c>
      <c r="J9" s="46">
        <f t="shared" si="0"/>
        <v>6436800</v>
      </c>
      <c r="K9" s="46"/>
      <c r="L9" s="42"/>
      <c r="M9" s="42"/>
      <c r="N9" s="42"/>
      <c r="O9" s="42"/>
      <c r="P9" s="218"/>
    </row>
    <row r="10" spans="1:16" s="51" customFormat="1" ht="15.75" x14ac:dyDescent="0.25">
      <c r="A10" s="122" t="s">
        <v>11</v>
      </c>
      <c r="B10" s="47" t="s">
        <v>12</v>
      </c>
      <c r="C10" s="47"/>
      <c r="D10" s="47"/>
      <c r="E10" s="47"/>
      <c r="F10" s="47"/>
      <c r="G10" s="47"/>
      <c r="H10" s="47"/>
      <c r="I10" s="47"/>
      <c r="J10" s="47"/>
      <c r="K10" s="47"/>
      <c r="L10" s="47" t="s">
        <v>389</v>
      </c>
      <c r="M10" s="17" t="s">
        <v>408</v>
      </c>
      <c r="N10" s="17" t="s">
        <v>390</v>
      </c>
      <c r="O10" s="17" t="s">
        <v>391</v>
      </c>
      <c r="P10" s="124"/>
    </row>
    <row r="11" spans="1:16" ht="15.75" x14ac:dyDescent="0.25">
      <c r="A11" s="78" t="s">
        <v>114</v>
      </c>
      <c r="B11" s="143" t="s">
        <v>15</v>
      </c>
      <c r="C11" s="127"/>
      <c r="D11" s="127"/>
      <c r="E11" s="127"/>
      <c r="F11" s="127"/>
      <c r="G11" s="127"/>
      <c r="H11" s="127"/>
      <c r="I11" s="127"/>
      <c r="J11" s="127"/>
      <c r="K11" s="127"/>
      <c r="L11" s="127"/>
      <c r="M11" s="127"/>
      <c r="N11" s="127"/>
      <c r="O11" s="127"/>
      <c r="P11" s="259"/>
    </row>
    <row r="12" spans="1:16" ht="15.75" x14ac:dyDescent="0.25">
      <c r="A12" s="79" t="s">
        <v>115</v>
      </c>
      <c r="B12" s="48" t="s">
        <v>16</v>
      </c>
      <c r="C12" s="127"/>
      <c r="D12" s="127"/>
      <c r="E12" s="127"/>
      <c r="F12" s="127"/>
      <c r="G12" s="127">
        <v>1</v>
      </c>
      <c r="H12" s="127"/>
      <c r="I12" s="127"/>
      <c r="J12" s="127"/>
      <c r="K12" s="127" t="s">
        <v>401</v>
      </c>
      <c r="L12" s="227">
        <f>C12*$C$9+D12*$D$9+E12*$E$9+F12*$F$9+G12*$G$9+H12*$H$9+J12*$J$9+I12*$I$9</f>
        <v>3978300</v>
      </c>
      <c r="M12" s="227">
        <f>L12/26</f>
        <v>153011.53846153847</v>
      </c>
      <c r="N12" s="227">
        <f>M12*$N$8</f>
        <v>35957.711538461539</v>
      </c>
      <c r="O12" s="227">
        <f>ROUND(M12+N12,0)</f>
        <v>188969</v>
      </c>
      <c r="P12" s="259" t="s">
        <v>392</v>
      </c>
    </row>
    <row r="13" spans="1:16" ht="34.5" customHeight="1" x14ac:dyDescent="0.25">
      <c r="A13" s="79" t="s">
        <v>116</v>
      </c>
      <c r="B13" s="48" t="s">
        <v>17</v>
      </c>
      <c r="C13" s="127"/>
      <c r="D13" s="127"/>
      <c r="E13" s="127"/>
      <c r="F13" s="127"/>
      <c r="G13" s="127"/>
      <c r="H13" s="127"/>
      <c r="I13" s="127"/>
      <c r="J13" s="127"/>
      <c r="K13" s="127"/>
      <c r="L13" s="127"/>
      <c r="M13" s="127"/>
      <c r="N13" s="127"/>
      <c r="O13" s="127"/>
      <c r="P13" s="265" t="s">
        <v>52</v>
      </c>
    </row>
    <row r="14" spans="1:16" ht="33.75" customHeight="1" x14ac:dyDescent="0.25">
      <c r="A14" s="79" t="s">
        <v>117</v>
      </c>
      <c r="B14" s="48" t="s">
        <v>18</v>
      </c>
      <c r="C14" s="127"/>
      <c r="D14" s="127"/>
      <c r="E14" s="127"/>
      <c r="F14" s="127"/>
      <c r="G14" s="127"/>
      <c r="H14" s="127"/>
      <c r="I14" s="127"/>
      <c r="J14" s="127"/>
      <c r="K14" s="127"/>
      <c r="L14" s="127"/>
      <c r="M14" s="127"/>
      <c r="N14" s="127"/>
      <c r="O14" s="127"/>
      <c r="P14" s="265" t="s">
        <v>52</v>
      </c>
    </row>
    <row r="15" spans="1:16" ht="31.5" x14ac:dyDescent="0.25">
      <c r="A15" s="79" t="s">
        <v>118</v>
      </c>
      <c r="B15" s="48" t="s">
        <v>19</v>
      </c>
      <c r="C15" s="127"/>
      <c r="D15" s="127"/>
      <c r="E15" s="127"/>
      <c r="F15" s="127"/>
      <c r="G15" s="127"/>
      <c r="H15" s="127"/>
      <c r="I15" s="127"/>
      <c r="J15" s="127"/>
      <c r="K15" s="127"/>
      <c r="L15" s="127"/>
      <c r="M15" s="127"/>
      <c r="N15" s="127"/>
      <c r="O15" s="127"/>
      <c r="P15" s="259" t="s">
        <v>54</v>
      </c>
    </row>
    <row r="16" spans="1:16" ht="15.75" x14ac:dyDescent="0.25">
      <c r="A16" s="78" t="s">
        <v>119</v>
      </c>
      <c r="B16" s="143" t="s">
        <v>20</v>
      </c>
      <c r="C16" s="127"/>
      <c r="D16" s="127"/>
      <c r="E16" s="127"/>
      <c r="F16" s="127"/>
      <c r="G16" s="127"/>
      <c r="H16" s="127"/>
      <c r="I16" s="127"/>
      <c r="J16" s="127"/>
      <c r="K16" s="127"/>
      <c r="L16" s="127"/>
      <c r="M16" s="127"/>
      <c r="N16" s="127"/>
      <c r="O16" s="127"/>
      <c r="P16" s="259" t="s">
        <v>422</v>
      </c>
    </row>
    <row r="17" spans="1:16" ht="15.75" x14ac:dyDescent="0.25">
      <c r="A17" s="79" t="s">
        <v>120</v>
      </c>
      <c r="B17" s="48" t="s">
        <v>21</v>
      </c>
      <c r="C17" s="127"/>
      <c r="D17" s="127"/>
      <c r="E17" s="127"/>
      <c r="F17" s="127"/>
      <c r="G17" s="127"/>
      <c r="H17" s="127"/>
      <c r="I17" s="127"/>
      <c r="J17" s="127"/>
      <c r="K17" s="127"/>
      <c r="L17" s="127"/>
      <c r="M17" s="127"/>
      <c r="N17" s="127"/>
      <c r="O17" s="127"/>
      <c r="P17" s="259"/>
    </row>
    <row r="18" spans="1:16" ht="15.75" x14ac:dyDescent="0.25">
      <c r="A18" s="79" t="s">
        <v>121</v>
      </c>
      <c r="B18" s="48" t="s">
        <v>22</v>
      </c>
      <c r="C18" s="127"/>
      <c r="D18" s="127"/>
      <c r="E18" s="127">
        <v>1</v>
      </c>
      <c r="F18" s="127"/>
      <c r="G18" s="127"/>
      <c r="H18" s="127">
        <v>1</v>
      </c>
      <c r="I18" s="127"/>
      <c r="J18" s="127"/>
      <c r="K18" s="127" t="s">
        <v>420</v>
      </c>
      <c r="L18" s="227">
        <f t="shared" ref="L18:L20" si="1">C18*$C$9+D18*$D$9+E18*$E$9+F18*$F$9+G18*$G$9+H18*$H$9+J18*$J$9+I18*$I$9</f>
        <v>8731400</v>
      </c>
      <c r="M18" s="227">
        <f t="shared" ref="M18:M20" si="2">L18/26</f>
        <v>335823.07692307694</v>
      </c>
      <c r="N18" s="227">
        <f t="shared" ref="N18:N20" si="3">M18*$N$8</f>
        <v>78918.423076923078</v>
      </c>
      <c r="O18" s="227">
        <f t="shared" ref="O18:O20" si="4">ROUND(M18+N18,0)</f>
        <v>414742</v>
      </c>
      <c r="P18" s="259"/>
    </row>
    <row r="19" spans="1:16" ht="15.75" x14ac:dyDescent="0.25">
      <c r="A19" s="79" t="s">
        <v>122</v>
      </c>
      <c r="B19" s="48" t="s">
        <v>23</v>
      </c>
      <c r="C19" s="127"/>
      <c r="D19" s="127"/>
      <c r="E19" s="127"/>
      <c r="F19" s="127"/>
      <c r="G19" s="127"/>
      <c r="H19" s="127">
        <v>1</v>
      </c>
      <c r="I19" s="127"/>
      <c r="J19" s="127"/>
      <c r="K19" s="127" t="s">
        <v>417</v>
      </c>
      <c r="L19" s="227">
        <f t="shared" si="1"/>
        <v>4470000</v>
      </c>
      <c r="M19" s="227">
        <f t="shared" si="2"/>
        <v>171923.07692307694</v>
      </c>
      <c r="N19" s="227">
        <f t="shared" si="3"/>
        <v>40401.923076923078</v>
      </c>
      <c r="O19" s="227">
        <f t="shared" si="4"/>
        <v>212325</v>
      </c>
      <c r="P19" s="259"/>
    </row>
    <row r="20" spans="1:16" ht="15.75" x14ac:dyDescent="0.25">
      <c r="A20" s="79" t="s">
        <v>123</v>
      </c>
      <c r="B20" s="48" t="s">
        <v>24</v>
      </c>
      <c r="C20" s="127">
        <v>1</v>
      </c>
      <c r="D20" s="127"/>
      <c r="E20" s="127"/>
      <c r="F20" s="127"/>
      <c r="G20" s="127"/>
      <c r="H20" s="127"/>
      <c r="I20" s="127"/>
      <c r="J20" s="127"/>
      <c r="K20" s="127" t="s">
        <v>404</v>
      </c>
      <c r="L20" s="227">
        <f t="shared" si="1"/>
        <v>2771400</v>
      </c>
      <c r="M20" s="227">
        <f t="shared" si="2"/>
        <v>106592.30769230769</v>
      </c>
      <c r="N20" s="227">
        <f t="shared" si="3"/>
        <v>25049.192307692305</v>
      </c>
      <c r="O20" s="227">
        <f t="shared" si="4"/>
        <v>131642</v>
      </c>
      <c r="P20" s="259"/>
    </row>
    <row r="21" spans="1:16" ht="31.5" x14ac:dyDescent="0.25">
      <c r="A21" s="78" t="s">
        <v>26</v>
      </c>
      <c r="B21" s="143" t="s">
        <v>27</v>
      </c>
      <c r="C21" s="127"/>
      <c r="D21" s="127"/>
      <c r="E21" s="127"/>
      <c r="F21" s="127"/>
      <c r="G21" s="127"/>
      <c r="H21" s="127"/>
      <c r="I21" s="127"/>
      <c r="J21" s="127"/>
      <c r="K21" s="127"/>
      <c r="L21" s="127"/>
      <c r="M21" s="127"/>
      <c r="N21" s="127"/>
      <c r="O21" s="127"/>
      <c r="P21" s="259"/>
    </row>
    <row r="22" spans="1:16" ht="15.75" x14ac:dyDescent="0.25">
      <c r="A22" s="78" t="s">
        <v>124</v>
      </c>
      <c r="B22" s="143" t="s">
        <v>28</v>
      </c>
      <c r="C22" s="127"/>
      <c r="D22" s="127"/>
      <c r="E22" s="127"/>
      <c r="F22" s="127"/>
      <c r="G22" s="127"/>
      <c r="H22" s="127"/>
      <c r="I22" s="127"/>
      <c r="J22" s="127"/>
      <c r="K22" s="127"/>
      <c r="L22" s="127"/>
      <c r="M22" s="127"/>
      <c r="N22" s="127"/>
      <c r="O22" s="127"/>
      <c r="P22" s="259" t="s">
        <v>424</v>
      </c>
    </row>
    <row r="23" spans="1:16" ht="31.5" x14ac:dyDescent="0.25">
      <c r="A23" s="79" t="s">
        <v>125</v>
      </c>
      <c r="B23" s="48" t="s">
        <v>29</v>
      </c>
      <c r="C23" s="127"/>
      <c r="D23" s="127"/>
      <c r="E23" s="127"/>
      <c r="F23" s="127"/>
      <c r="G23" s="127"/>
      <c r="H23" s="127"/>
      <c r="I23" s="127"/>
      <c r="J23" s="127">
        <v>1</v>
      </c>
      <c r="K23" s="127" t="s">
        <v>419</v>
      </c>
      <c r="L23" s="227">
        <f t="shared" ref="L23:L35" si="5">C23*$C$9+D23*$D$9+E23*$E$9+F23*$F$9+G23*$G$9+H23*$H$9+J23*$J$9+I23*$I$9</f>
        <v>6436800</v>
      </c>
      <c r="M23" s="227">
        <f t="shared" ref="M23:M35" si="6">L23/26</f>
        <v>247569.23076923078</v>
      </c>
      <c r="N23" s="227">
        <f t="shared" ref="N23:N35" si="7">M23*$N$8</f>
        <v>58178.769230769227</v>
      </c>
      <c r="O23" s="227">
        <f t="shared" ref="O23:O35" si="8">ROUND(M23+N23,0)</f>
        <v>305748</v>
      </c>
      <c r="P23" s="259"/>
    </row>
    <row r="24" spans="1:16" ht="31.5" x14ac:dyDescent="0.25">
      <c r="A24" s="79" t="s">
        <v>126</v>
      </c>
      <c r="B24" s="48" t="s">
        <v>30</v>
      </c>
      <c r="C24" s="127">
        <v>1</v>
      </c>
      <c r="D24" s="127"/>
      <c r="E24" s="127"/>
      <c r="F24" s="127"/>
      <c r="G24" s="127"/>
      <c r="H24" s="127"/>
      <c r="I24" s="127"/>
      <c r="J24" s="127"/>
      <c r="K24" s="127" t="s">
        <v>404</v>
      </c>
      <c r="L24" s="227">
        <f t="shared" si="5"/>
        <v>2771400</v>
      </c>
      <c r="M24" s="227">
        <f t="shared" si="6"/>
        <v>106592.30769230769</v>
      </c>
      <c r="N24" s="227">
        <f t="shared" si="7"/>
        <v>25049.192307692305</v>
      </c>
      <c r="O24" s="227">
        <f t="shared" si="8"/>
        <v>131642</v>
      </c>
      <c r="P24" s="259"/>
    </row>
    <row r="25" spans="1:16" ht="15.75" x14ac:dyDescent="0.25">
      <c r="A25" s="79" t="s">
        <v>127</v>
      </c>
      <c r="B25" s="48" t="s">
        <v>31</v>
      </c>
      <c r="C25" s="127">
        <v>1</v>
      </c>
      <c r="D25" s="127"/>
      <c r="E25" s="127"/>
      <c r="F25" s="127"/>
      <c r="G25" s="127"/>
      <c r="H25" s="127"/>
      <c r="I25" s="127">
        <v>1</v>
      </c>
      <c r="J25" s="127"/>
      <c r="K25" s="127" t="s">
        <v>421</v>
      </c>
      <c r="L25" s="227">
        <f t="shared" si="5"/>
        <v>7733100</v>
      </c>
      <c r="M25" s="227">
        <f t="shared" si="6"/>
        <v>297426.92307692306</v>
      </c>
      <c r="N25" s="227">
        <f t="shared" si="7"/>
        <v>69895.326923076922</v>
      </c>
      <c r="O25" s="227">
        <f t="shared" si="8"/>
        <v>367322</v>
      </c>
      <c r="P25" s="259"/>
    </row>
    <row r="26" spans="1:16" ht="15.75" x14ac:dyDescent="0.25">
      <c r="A26" s="79" t="s">
        <v>128</v>
      </c>
      <c r="B26" s="48" t="s">
        <v>32</v>
      </c>
      <c r="C26" s="127">
        <v>1</v>
      </c>
      <c r="D26" s="127"/>
      <c r="E26" s="127"/>
      <c r="F26" s="127"/>
      <c r="G26" s="127"/>
      <c r="H26" s="127"/>
      <c r="I26" s="127">
        <v>1</v>
      </c>
      <c r="J26" s="127"/>
      <c r="K26" s="127" t="s">
        <v>421</v>
      </c>
      <c r="L26" s="227">
        <f t="shared" si="5"/>
        <v>7733100</v>
      </c>
      <c r="M26" s="227">
        <f t="shared" si="6"/>
        <v>297426.92307692306</v>
      </c>
      <c r="N26" s="227">
        <f t="shared" si="7"/>
        <v>69895.326923076922</v>
      </c>
      <c r="O26" s="227">
        <f t="shared" si="8"/>
        <v>367322</v>
      </c>
      <c r="P26" s="259"/>
    </row>
    <row r="27" spans="1:16" ht="15.75" x14ac:dyDescent="0.25">
      <c r="A27" s="79" t="s">
        <v>129</v>
      </c>
      <c r="B27" s="48" t="s">
        <v>33</v>
      </c>
      <c r="C27" s="127">
        <v>1</v>
      </c>
      <c r="D27" s="127"/>
      <c r="E27" s="127"/>
      <c r="F27" s="127"/>
      <c r="G27" s="127"/>
      <c r="H27" s="127"/>
      <c r="I27" s="127">
        <v>1</v>
      </c>
      <c r="J27" s="127"/>
      <c r="K27" s="127" t="s">
        <v>421</v>
      </c>
      <c r="L27" s="227">
        <f t="shared" si="5"/>
        <v>7733100</v>
      </c>
      <c r="M27" s="227">
        <f t="shared" si="6"/>
        <v>297426.92307692306</v>
      </c>
      <c r="N27" s="227">
        <f t="shared" si="7"/>
        <v>69895.326923076922</v>
      </c>
      <c r="O27" s="227">
        <f t="shared" si="8"/>
        <v>367322</v>
      </c>
      <c r="P27" s="259"/>
    </row>
    <row r="28" spans="1:16" ht="15.75" x14ac:dyDescent="0.25">
      <c r="A28" s="79" t="s">
        <v>130</v>
      </c>
      <c r="B28" s="48" t="s">
        <v>34</v>
      </c>
      <c r="C28" s="127">
        <v>1</v>
      </c>
      <c r="D28" s="127"/>
      <c r="E28" s="127"/>
      <c r="F28" s="127"/>
      <c r="G28" s="127"/>
      <c r="H28" s="127"/>
      <c r="I28" s="127">
        <v>1</v>
      </c>
      <c r="J28" s="127"/>
      <c r="K28" s="127" t="s">
        <v>421</v>
      </c>
      <c r="L28" s="227">
        <f t="shared" si="5"/>
        <v>7733100</v>
      </c>
      <c r="M28" s="227">
        <f t="shared" si="6"/>
        <v>297426.92307692306</v>
      </c>
      <c r="N28" s="227">
        <f t="shared" si="7"/>
        <v>69895.326923076922</v>
      </c>
      <c r="O28" s="227">
        <f t="shared" si="8"/>
        <v>367322</v>
      </c>
      <c r="P28" s="259"/>
    </row>
    <row r="29" spans="1:16" ht="31.5" x14ac:dyDescent="0.25">
      <c r="A29" s="79" t="s">
        <v>131</v>
      </c>
      <c r="B29" s="48" t="s">
        <v>35</v>
      </c>
      <c r="C29" s="127">
        <v>1</v>
      </c>
      <c r="D29" s="127"/>
      <c r="E29" s="127"/>
      <c r="F29" s="127"/>
      <c r="G29" s="127"/>
      <c r="H29" s="127"/>
      <c r="I29" s="127">
        <v>1</v>
      </c>
      <c r="J29" s="127"/>
      <c r="K29" s="127" t="s">
        <v>421</v>
      </c>
      <c r="L29" s="227">
        <f t="shared" si="5"/>
        <v>7733100</v>
      </c>
      <c r="M29" s="227">
        <f t="shared" si="6"/>
        <v>297426.92307692306</v>
      </c>
      <c r="N29" s="227">
        <f t="shared" si="7"/>
        <v>69895.326923076922</v>
      </c>
      <c r="O29" s="227">
        <f t="shared" si="8"/>
        <v>367322</v>
      </c>
      <c r="P29" s="259"/>
    </row>
    <row r="30" spans="1:16" ht="15.75" x14ac:dyDescent="0.25">
      <c r="A30" s="79" t="s">
        <v>132</v>
      </c>
      <c r="B30" s="48" t="s">
        <v>36</v>
      </c>
      <c r="C30" s="127">
        <v>1</v>
      </c>
      <c r="D30" s="127"/>
      <c r="E30" s="127"/>
      <c r="F30" s="127"/>
      <c r="G30" s="127"/>
      <c r="H30" s="127"/>
      <c r="I30" s="127">
        <v>1</v>
      </c>
      <c r="J30" s="127"/>
      <c r="K30" s="127" t="s">
        <v>421</v>
      </c>
      <c r="L30" s="227">
        <f t="shared" si="5"/>
        <v>7733100</v>
      </c>
      <c r="M30" s="227">
        <f t="shared" si="6"/>
        <v>297426.92307692306</v>
      </c>
      <c r="N30" s="227">
        <f t="shared" si="7"/>
        <v>69895.326923076922</v>
      </c>
      <c r="O30" s="227">
        <f t="shared" si="8"/>
        <v>367322</v>
      </c>
      <c r="P30" s="259"/>
    </row>
    <row r="31" spans="1:16" ht="15.75" x14ac:dyDescent="0.25">
      <c r="A31" s="79" t="s">
        <v>133</v>
      </c>
      <c r="B31" s="48" t="s">
        <v>37</v>
      </c>
      <c r="C31" s="127">
        <v>1</v>
      </c>
      <c r="D31" s="127"/>
      <c r="E31" s="127"/>
      <c r="F31" s="127"/>
      <c r="G31" s="127"/>
      <c r="H31" s="127"/>
      <c r="I31" s="127">
        <v>1</v>
      </c>
      <c r="J31" s="127"/>
      <c r="K31" s="127" t="s">
        <v>421</v>
      </c>
      <c r="L31" s="227">
        <f t="shared" si="5"/>
        <v>7733100</v>
      </c>
      <c r="M31" s="227">
        <f t="shared" si="6"/>
        <v>297426.92307692306</v>
      </c>
      <c r="N31" s="227">
        <f t="shared" si="7"/>
        <v>69895.326923076922</v>
      </c>
      <c r="O31" s="227">
        <f t="shared" si="8"/>
        <v>367322</v>
      </c>
      <c r="P31" s="259"/>
    </row>
    <row r="32" spans="1:16" ht="31.5" x14ac:dyDescent="0.25">
      <c r="A32" s="79" t="s">
        <v>134</v>
      </c>
      <c r="B32" s="48" t="s">
        <v>38</v>
      </c>
      <c r="C32" s="127">
        <v>1</v>
      </c>
      <c r="D32" s="127"/>
      <c r="E32" s="127"/>
      <c r="F32" s="127"/>
      <c r="G32" s="127"/>
      <c r="H32" s="127"/>
      <c r="I32" s="127">
        <v>1</v>
      </c>
      <c r="J32" s="127"/>
      <c r="K32" s="127" t="s">
        <v>421</v>
      </c>
      <c r="L32" s="227">
        <f t="shared" si="5"/>
        <v>7733100</v>
      </c>
      <c r="M32" s="227">
        <f t="shared" si="6"/>
        <v>297426.92307692306</v>
      </c>
      <c r="N32" s="227">
        <f t="shared" si="7"/>
        <v>69895.326923076922</v>
      </c>
      <c r="O32" s="227">
        <f t="shared" si="8"/>
        <v>367322</v>
      </c>
      <c r="P32" s="259"/>
    </row>
    <row r="33" spans="1:16" ht="15.75" x14ac:dyDescent="0.25">
      <c r="A33" s="79" t="s">
        <v>135</v>
      </c>
      <c r="B33" s="48" t="s">
        <v>39</v>
      </c>
      <c r="C33" s="127">
        <v>1</v>
      </c>
      <c r="D33" s="127"/>
      <c r="E33" s="127"/>
      <c r="F33" s="127"/>
      <c r="G33" s="127"/>
      <c r="H33" s="127"/>
      <c r="I33" s="127">
        <v>1</v>
      </c>
      <c r="J33" s="127"/>
      <c r="K33" s="127" t="s">
        <v>421</v>
      </c>
      <c r="L33" s="227">
        <f t="shared" si="5"/>
        <v>7733100</v>
      </c>
      <c r="M33" s="227">
        <f t="shared" si="6"/>
        <v>297426.92307692306</v>
      </c>
      <c r="N33" s="227">
        <f t="shared" si="7"/>
        <v>69895.326923076922</v>
      </c>
      <c r="O33" s="227">
        <f t="shared" si="8"/>
        <v>367322</v>
      </c>
      <c r="P33" s="259"/>
    </row>
    <row r="34" spans="1:16" ht="31.5" x14ac:dyDescent="0.25">
      <c r="A34" s="79" t="s">
        <v>136</v>
      </c>
      <c r="B34" s="48" t="s">
        <v>40</v>
      </c>
      <c r="C34" s="127">
        <v>1</v>
      </c>
      <c r="D34" s="127"/>
      <c r="E34" s="127"/>
      <c r="F34" s="127"/>
      <c r="G34" s="127"/>
      <c r="H34" s="127"/>
      <c r="I34" s="127">
        <v>1</v>
      </c>
      <c r="J34" s="127"/>
      <c r="K34" s="127" t="s">
        <v>421</v>
      </c>
      <c r="L34" s="227">
        <f t="shared" si="5"/>
        <v>7733100</v>
      </c>
      <c r="M34" s="227">
        <f t="shared" si="6"/>
        <v>297426.92307692306</v>
      </c>
      <c r="N34" s="227">
        <f t="shared" si="7"/>
        <v>69895.326923076922</v>
      </c>
      <c r="O34" s="227">
        <f t="shared" si="8"/>
        <v>367322</v>
      </c>
      <c r="P34" s="259"/>
    </row>
    <row r="35" spans="1:16" ht="31.5" x14ac:dyDescent="0.25">
      <c r="A35" s="79" t="s">
        <v>137</v>
      </c>
      <c r="B35" s="48" t="s">
        <v>41</v>
      </c>
      <c r="C35" s="127">
        <v>1</v>
      </c>
      <c r="D35" s="127"/>
      <c r="E35" s="127"/>
      <c r="F35" s="127"/>
      <c r="G35" s="127"/>
      <c r="H35" s="127"/>
      <c r="I35" s="127">
        <v>1</v>
      </c>
      <c r="J35" s="127"/>
      <c r="K35" s="127" t="s">
        <v>421</v>
      </c>
      <c r="L35" s="227">
        <f t="shared" si="5"/>
        <v>7733100</v>
      </c>
      <c r="M35" s="227">
        <f t="shared" si="6"/>
        <v>297426.92307692306</v>
      </c>
      <c r="N35" s="227">
        <f t="shared" si="7"/>
        <v>69895.326923076922</v>
      </c>
      <c r="O35" s="227">
        <f t="shared" si="8"/>
        <v>367322</v>
      </c>
      <c r="P35" s="259"/>
    </row>
    <row r="36" spans="1:16" ht="15.75" x14ac:dyDescent="0.25">
      <c r="A36" s="78" t="s">
        <v>138</v>
      </c>
      <c r="B36" s="143" t="s">
        <v>42</v>
      </c>
      <c r="C36" s="127"/>
      <c r="D36" s="127"/>
      <c r="E36" s="127"/>
      <c r="F36" s="127"/>
      <c r="G36" s="127"/>
      <c r="H36" s="127"/>
      <c r="I36" s="127"/>
      <c r="J36" s="127"/>
      <c r="K36" s="127"/>
      <c r="L36" s="127"/>
      <c r="M36" s="127"/>
      <c r="N36" s="127"/>
      <c r="O36" s="127"/>
      <c r="P36" s="259"/>
    </row>
    <row r="37" spans="1:16" ht="15.75" x14ac:dyDescent="0.25">
      <c r="A37" s="79" t="s">
        <v>139</v>
      </c>
      <c r="B37" s="48" t="s">
        <v>43</v>
      </c>
      <c r="C37" s="127"/>
      <c r="D37" s="127"/>
      <c r="E37" s="127"/>
      <c r="F37" s="127"/>
      <c r="G37" s="127"/>
      <c r="H37" s="127">
        <v>1</v>
      </c>
      <c r="I37" s="127"/>
      <c r="J37" s="127"/>
      <c r="K37" s="127" t="s">
        <v>417</v>
      </c>
      <c r="L37" s="227">
        <f t="shared" ref="L37:L38" si="9">C37*$C$9+D37*$D$9+E37*$E$9+F37*$F$9+G37*$G$9+H37*$H$9+J37*$J$9+I37*$I$9</f>
        <v>4470000</v>
      </c>
      <c r="M37" s="227">
        <f t="shared" ref="M37:M38" si="10">L37/26</f>
        <v>171923.07692307694</v>
      </c>
      <c r="N37" s="227">
        <f t="shared" ref="N37:N38" si="11">M37*$N$8</f>
        <v>40401.923076923078</v>
      </c>
      <c r="O37" s="227">
        <f t="shared" ref="O37:O38" si="12">ROUND(M37+N37,0)</f>
        <v>212325</v>
      </c>
      <c r="P37" s="259" t="s">
        <v>427</v>
      </c>
    </row>
    <row r="38" spans="1:16" ht="31.5" x14ac:dyDescent="0.25">
      <c r="A38" s="79" t="s">
        <v>140</v>
      </c>
      <c r="B38" s="48" t="s">
        <v>44</v>
      </c>
      <c r="C38" s="127"/>
      <c r="D38" s="127"/>
      <c r="E38" s="127"/>
      <c r="F38" s="127">
        <v>1</v>
      </c>
      <c r="G38" s="127"/>
      <c r="H38" s="127"/>
      <c r="I38" s="127"/>
      <c r="J38" s="127"/>
      <c r="K38" s="127" t="s">
        <v>400</v>
      </c>
      <c r="L38" s="227">
        <f t="shared" si="9"/>
        <v>3486600</v>
      </c>
      <c r="M38" s="227">
        <f t="shared" si="10"/>
        <v>134100</v>
      </c>
      <c r="N38" s="227">
        <f t="shared" si="11"/>
        <v>31513.5</v>
      </c>
      <c r="O38" s="227">
        <f t="shared" si="12"/>
        <v>165614</v>
      </c>
      <c r="P38" s="259" t="s">
        <v>427</v>
      </c>
    </row>
    <row r="39" spans="1:16" ht="38.25" x14ac:dyDescent="0.25">
      <c r="A39" s="79" t="s">
        <v>141</v>
      </c>
      <c r="B39" s="48" t="s">
        <v>45</v>
      </c>
      <c r="C39" s="127"/>
      <c r="D39" s="127"/>
      <c r="E39" s="127"/>
      <c r="F39" s="127"/>
      <c r="G39" s="127"/>
      <c r="H39" s="127"/>
      <c r="I39" s="127"/>
      <c r="J39" s="127"/>
      <c r="K39" s="127"/>
      <c r="L39" s="127"/>
      <c r="M39" s="127"/>
      <c r="N39" s="127"/>
      <c r="O39" s="127"/>
      <c r="P39" s="189" t="s">
        <v>52</v>
      </c>
    </row>
    <row r="40" spans="1:16" ht="15.75" x14ac:dyDescent="0.25">
      <c r="A40" s="79" t="s">
        <v>142</v>
      </c>
      <c r="B40" s="48" t="s">
        <v>46</v>
      </c>
      <c r="C40" s="127"/>
      <c r="D40" s="127"/>
      <c r="E40" s="127"/>
      <c r="F40" s="127"/>
      <c r="G40" s="127"/>
      <c r="H40" s="127">
        <v>1</v>
      </c>
      <c r="I40" s="127"/>
      <c r="J40" s="127"/>
      <c r="K40" s="127" t="s">
        <v>417</v>
      </c>
      <c r="L40" s="227">
        <f>C40*$C$9+D40*$D$9+E40*$E$9+F40*$F$9+G40*$G$9+H40*$H$9+J40*$J$9+I40*$I$9</f>
        <v>4470000</v>
      </c>
      <c r="M40" s="227">
        <f>L40/26</f>
        <v>171923.07692307694</v>
      </c>
      <c r="N40" s="227">
        <f>M40*$N$8</f>
        <v>40401.923076923078</v>
      </c>
      <c r="O40" s="227">
        <f>ROUND(M40+N40,0)</f>
        <v>212325</v>
      </c>
      <c r="P40" s="259" t="s">
        <v>427</v>
      </c>
    </row>
    <row r="41" spans="1:16" ht="15.75" x14ac:dyDescent="0.2">
      <c r="A41" s="79" t="s">
        <v>143</v>
      </c>
      <c r="B41" s="48" t="s">
        <v>47</v>
      </c>
      <c r="C41" s="127"/>
      <c r="D41" s="127"/>
      <c r="E41" s="127"/>
      <c r="F41" s="127"/>
      <c r="G41" s="127"/>
      <c r="H41" s="127"/>
      <c r="I41" s="127"/>
      <c r="J41" s="127"/>
      <c r="K41" s="127"/>
      <c r="L41" s="127"/>
      <c r="M41" s="127"/>
      <c r="N41" s="127"/>
      <c r="O41" s="127"/>
      <c r="P41" s="411" t="s">
        <v>54</v>
      </c>
    </row>
    <row r="42" spans="1:16" ht="15.75" x14ac:dyDescent="0.25">
      <c r="A42" s="78" t="s">
        <v>144</v>
      </c>
      <c r="B42" s="143" t="s">
        <v>48</v>
      </c>
      <c r="C42" s="127"/>
      <c r="D42" s="127"/>
      <c r="E42" s="127"/>
      <c r="F42" s="127"/>
      <c r="G42" s="127"/>
      <c r="H42" s="127"/>
      <c r="I42" s="127"/>
      <c r="J42" s="127"/>
      <c r="K42" s="127"/>
      <c r="L42" s="127"/>
      <c r="M42" s="127"/>
      <c r="N42" s="127"/>
      <c r="O42" s="127"/>
      <c r="P42" s="259"/>
    </row>
    <row r="43" spans="1:16" ht="15.75" x14ac:dyDescent="0.25">
      <c r="A43" s="79" t="s">
        <v>145</v>
      </c>
      <c r="B43" s="48" t="s">
        <v>48</v>
      </c>
      <c r="C43" s="127">
        <v>1</v>
      </c>
      <c r="D43" s="127">
        <v>1</v>
      </c>
      <c r="E43" s="127"/>
      <c r="F43" s="127"/>
      <c r="G43" s="127">
        <v>1</v>
      </c>
      <c r="H43" s="127"/>
      <c r="I43" s="127"/>
      <c r="J43" s="127"/>
      <c r="K43" s="127" t="s">
        <v>429</v>
      </c>
      <c r="L43" s="227">
        <f t="shared" ref="L43:L44" si="13">C43*$C$9+D43*$D$9+E43*$E$9+F43*$F$9+G43*$G$9+H43*$H$9+J43*$J$9+I43*$I$9</f>
        <v>9819100</v>
      </c>
      <c r="M43" s="227">
        <f t="shared" ref="M43:M44" si="14">L43/26</f>
        <v>377657.69230769231</v>
      </c>
      <c r="N43" s="227">
        <f t="shared" ref="N43:N44" si="15">M43*$N$8</f>
        <v>88749.557692307688</v>
      </c>
      <c r="O43" s="227">
        <f t="shared" ref="O43:O44" si="16">ROUND(M43+N43,0)</f>
        <v>466407</v>
      </c>
      <c r="P43" s="259" t="s">
        <v>435</v>
      </c>
    </row>
    <row r="44" spans="1:16" ht="15.75" x14ac:dyDescent="0.25">
      <c r="A44" s="79" t="s">
        <v>146</v>
      </c>
      <c r="B44" s="48" t="s">
        <v>49</v>
      </c>
      <c r="C44" s="127">
        <v>1</v>
      </c>
      <c r="D44" s="127"/>
      <c r="E44" s="127"/>
      <c r="F44" s="127"/>
      <c r="G44" s="127">
        <v>1</v>
      </c>
      <c r="H44" s="127"/>
      <c r="I44" s="127"/>
      <c r="J44" s="127"/>
      <c r="K44" s="127" t="s">
        <v>430</v>
      </c>
      <c r="L44" s="227">
        <f t="shared" si="13"/>
        <v>6749700</v>
      </c>
      <c r="M44" s="227">
        <f t="shared" si="14"/>
        <v>259603.84615384616</v>
      </c>
      <c r="N44" s="227">
        <f t="shared" si="15"/>
        <v>61006.903846153844</v>
      </c>
      <c r="O44" s="227">
        <f t="shared" si="16"/>
        <v>320611</v>
      </c>
      <c r="P44" s="259"/>
    </row>
    <row r="45" spans="1:16" s="58" customFormat="1" ht="15.75" x14ac:dyDescent="0.25">
      <c r="A45" s="78" t="s">
        <v>296</v>
      </c>
      <c r="B45" s="143" t="s">
        <v>50</v>
      </c>
      <c r="C45" s="127"/>
      <c r="D45" s="127"/>
      <c r="E45" s="127"/>
      <c r="F45" s="127"/>
      <c r="G45" s="127"/>
      <c r="H45" s="127"/>
      <c r="I45" s="127"/>
      <c r="J45" s="127"/>
      <c r="K45" s="127"/>
      <c r="L45" s="127"/>
      <c r="M45" s="127"/>
      <c r="N45" s="127"/>
      <c r="O45" s="127"/>
      <c r="P45" s="259"/>
    </row>
    <row r="46" spans="1:16" ht="15.75" x14ac:dyDescent="0.25">
      <c r="A46" s="79" t="s">
        <v>147</v>
      </c>
      <c r="B46" s="48" t="s">
        <v>50</v>
      </c>
      <c r="C46" s="127">
        <v>1</v>
      </c>
      <c r="D46" s="127"/>
      <c r="E46" s="127"/>
      <c r="F46" s="127"/>
      <c r="G46" s="127"/>
      <c r="H46" s="127"/>
      <c r="I46" s="127"/>
      <c r="J46" s="127"/>
      <c r="K46" s="127" t="s">
        <v>404</v>
      </c>
      <c r="L46" s="227">
        <f>C46*$C$9+D46*$D$9+E46*$E$9+F46*$F$9+G46*$G$9+H46*$H$9+J46*$J$9+I46*$I$9</f>
        <v>2771400</v>
      </c>
      <c r="M46" s="227">
        <f>L46/26</f>
        <v>106592.30769230769</v>
      </c>
      <c r="N46" s="227">
        <f>M46*$N$8</f>
        <v>25049.192307692305</v>
      </c>
      <c r="O46" s="227">
        <f>ROUND(M46+N46,0)</f>
        <v>131642</v>
      </c>
      <c r="P46" s="259" t="s">
        <v>434</v>
      </c>
    </row>
    <row r="47" spans="1:16" ht="15.75" x14ac:dyDescent="0.2">
      <c r="A47" s="79" t="s">
        <v>148</v>
      </c>
      <c r="B47" s="48" t="s">
        <v>51</v>
      </c>
      <c r="C47" s="127"/>
      <c r="D47" s="127"/>
      <c r="E47" s="127"/>
      <c r="F47" s="127"/>
      <c r="G47" s="127"/>
      <c r="H47" s="127"/>
      <c r="I47" s="127"/>
      <c r="J47" s="127"/>
      <c r="K47" s="127"/>
      <c r="L47" s="127"/>
      <c r="M47" s="127"/>
      <c r="N47" s="127"/>
      <c r="O47" s="127"/>
      <c r="P47" s="411" t="s">
        <v>54</v>
      </c>
    </row>
    <row r="48" spans="1:16" ht="15.75" x14ac:dyDescent="0.25">
      <c r="A48" s="78" t="s">
        <v>161</v>
      </c>
      <c r="B48" s="143" t="s">
        <v>57</v>
      </c>
      <c r="C48" s="127"/>
      <c r="D48" s="127"/>
      <c r="E48" s="127"/>
      <c r="F48" s="127"/>
      <c r="G48" s="127"/>
      <c r="H48" s="127"/>
      <c r="I48" s="127"/>
      <c r="J48" s="127"/>
      <c r="K48" s="127"/>
      <c r="L48" s="127"/>
      <c r="M48" s="127"/>
      <c r="N48" s="127"/>
      <c r="O48" s="127"/>
      <c r="P48" s="259"/>
    </row>
    <row r="49" spans="1:16" s="58" customFormat="1" ht="15.75" x14ac:dyDescent="0.25">
      <c r="A49" s="79" t="s">
        <v>149</v>
      </c>
      <c r="B49" s="48" t="s">
        <v>58</v>
      </c>
      <c r="C49" s="127">
        <v>1</v>
      </c>
      <c r="D49" s="127"/>
      <c r="E49" s="127"/>
      <c r="F49" s="127"/>
      <c r="G49" s="127">
        <v>1</v>
      </c>
      <c r="H49" s="127"/>
      <c r="I49" s="127"/>
      <c r="J49" s="127"/>
      <c r="K49" s="127" t="s">
        <v>430</v>
      </c>
      <c r="L49" s="227">
        <f t="shared" ref="L49:L50" si="17">C49*$C$9+D49*$D$9+E49*$E$9+F49*$F$9+G49*$G$9+H49*$H$9+J49*$J$9+I49*$I$9</f>
        <v>6749700</v>
      </c>
      <c r="M49" s="227">
        <f t="shared" ref="M49:M50" si="18">L49/26</f>
        <v>259603.84615384616</v>
      </c>
      <c r="N49" s="227">
        <f t="shared" ref="N49:N50" si="19">M49*$N$8</f>
        <v>61006.903846153844</v>
      </c>
      <c r="O49" s="227">
        <f t="shared" ref="O49:O50" si="20">ROUND(M49+N49,0)</f>
        <v>320611</v>
      </c>
      <c r="P49" s="259" t="s">
        <v>431</v>
      </c>
    </row>
    <row r="50" spans="1:16" ht="15.75" x14ac:dyDescent="0.25">
      <c r="A50" s="79" t="s">
        <v>150</v>
      </c>
      <c r="B50" s="48" t="s">
        <v>59</v>
      </c>
      <c r="C50" s="127"/>
      <c r="D50" s="127"/>
      <c r="E50" s="127"/>
      <c r="F50" s="127"/>
      <c r="G50" s="127"/>
      <c r="H50" s="127">
        <v>1</v>
      </c>
      <c r="I50" s="127"/>
      <c r="J50" s="127"/>
      <c r="K50" s="127" t="s">
        <v>417</v>
      </c>
      <c r="L50" s="227">
        <f t="shared" si="17"/>
        <v>4470000</v>
      </c>
      <c r="M50" s="227">
        <f t="shared" si="18"/>
        <v>171923.07692307694</v>
      </c>
      <c r="N50" s="227">
        <f t="shared" si="19"/>
        <v>40401.923076923078</v>
      </c>
      <c r="O50" s="227">
        <f t="shared" si="20"/>
        <v>212325</v>
      </c>
      <c r="P50" s="259"/>
    </row>
    <row r="51" spans="1:16" ht="24" customHeight="1" x14ac:dyDescent="0.25">
      <c r="A51" s="79" t="s">
        <v>151</v>
      </c>
      <c r="B51" s="48" t="s">
        <v>60</v>
      </c>
      <c r="C51" s="127"/>
      <c r="D51" s="127"/>
      <c r="E51" s="127"/>
      <c r="F51" s="127"/>
      <c r="G51" s="127"/>
      <c r="H51" s="127"/>
      <c r="I51" s="127"/>
      <c r="J51" s="127"/>
      <c r="K51" s="127"/>
      <c r="L51" s="127"/>
      <c r="M51" s="127"/>
      <c r="N51" s="127"/>
      <c r="O51" s="127"/>
      <c r="P51" s="265" t="s">
        <v>299</v>
      </c>
    </row>
    <row r="52" spans="1:16" ht="24" customHeight="1" x14ac:dyDescent="0.25">
      <c r="A52" s="79" t="s">
        <v>152</v>
      </c>
      <c r="B52" s="48" t="s">
        <v>61</v>
      </c>
      <c r="C52" s="127"/>
      <c r="D52" s="127"/>
      <c r="E52" s="127"/>
      <c r="F52" s="127"/>
      <c r="G52" s="127"/>
      <c r="H52" s="127"/>
      <c r="I52" s="127"/>
      <c r="J52" s="127"/>
      <c r="K52" s="127"/>
      <c r="L52" s="127"/>
      <c r="M52" s="127"/>
      <c r="N52" s="127"/>
      <c r="O52" s="127"/>
      <c r="P52" s="265" t="s">
        <v>299</v>
      </c>
    </row>
    <row r="53" spans="1:16" ht="15.75" x14ac:dyDescent="0.2">
      <c r="A53" s="79" t="s">
        <v>153</v>
      </c>
      <c r="B53" s="48" t="s">
        <v>62</v>
      </c>
      <c r="C53" s="127"/>
      <c r="D53" s="127"/>
      <c r="E53" s="127"/>
      <c r="F53" s="127"/>
      <c r="G53" s="127"/>
      <c r="H53" s="127"/>
      <c r="I53" s="127"/>
      <c r="J53" s="127"/>
      <c r="K53" s="127"/>
      <c r="L53" s="127"/>
      <c r="M53" s="127"/>
      <c r="N53" s="127"/>
      <c r="O53" s="127"/>
      <c r="P53" s="411" t="s">
        <v>54</v>
      </c>
    </row>
    <row r="54" spans="1:16" ht="15.75" x14ac:dyDescent="0.25">
      <c r="A54" s="78" t="s">
        <v>160</v>
      </c>
      <c r="B54" s="148" t="s">
        <v>63</v>
      </c>
      <c r="C54" s="127"/>
      <c r="D54" s="127"/>
      <c r="E54" s="127"/>
      <c r="F54" s="127"/>
      <c r="G54" s="127"/>
      <c r="H54" s="127"/>
      <c r="I54" s="127"/>
      <c r="J54" s="127"/>
      <c r="K54" s="127"/>
      <c r="L54" s="127"/>
      <c r="M54" s="127"/>
      <c r="N54" s="127"/>
      <c r="O54" s="127"/>
      <c r="P54" s="259" t="s">
        <v>438</v>
      </c>
    </row>
    <row r="55" spans="1:16" ht="31.5" x14ac:dyDescent="0.25">
      <c r="A55" s="79" t="s">
        <v>154</v>
      </c>
      <c r="B55" s="48" t="s">
        <v>64</v>
      </c>
      <c r="C55" s="127">
        <v>1</v>
      </c>
      <c r="D55" s="127"/>
      <c r="E55" s="127"/>
      <c r="F55" s="127"/>
      <c r="G55" s="127"/>
      <c r="H55" s="127"/>
      <c r="I55" s="127"/>
      <c r="J55" s="127"/>
      <c r="K55" s="127" t="s">
        <v>404</v>
      </c>
      <c r="L55" s="227">
        <f t="shared" ref="L55:L59" si="21">C55*$C$9+D55*$D$9+E55*$E$9+F55*$F$9+G55*$G$9+H55*$H$9+J55*$J$9+I55*$I$9</f>
        <v>2771400</v>
      </c>
      <c r="M55" s="227">
        <f t="shared" ref="M55:M59" si="22">L55/26</f>
        <v>106592.30769230769</v>
      </c>
      <c r="N55" s="227">
        <f t="shared" ref="N55:N59" si="23">M55*$N$8</f>
        <v>25049.192307692305</v>
      </c>
      <c r="O55" s="227">
        <f t="shared" ref="O55:O59" si="24">ROUND(M55+N55,0)</f>
        <v>131642</v>
      </c>
      <c r="P55" s="259"/>
    </row>
    <row r="56" spans="1:16" ht="15.75" x14ac:dyDescent="0.25">
      <c r="A56" s="79" t="s">
        <v>155</v>
      </c>
      <c r="B56" s="48" t="s">
        <v>65</v>
      </c>
      <c r="C56" s="127">
        <v>1</v>
      </c>
      <c r="D56" s="127"/>
      <c r="E56" s="127"/>
      <c r="F56" s="127"/>
      <c r="G56" s="127"/>
      <c r="H56" s="127"/>
      <c r="I56" s="127"/>
      <c r="J56" s="127"/>
      <c r="K56" s="127" t="s">
        <v>404</v>
      </c>
      <c r="L56" s="227">
        <f t="shared" si="21"/>
        <v>2771400</v>
      </c>
      <c r="M56" s="227">
        <f t="shared" si="22"/>
        <v>106592.30769230769</v>
      </c>
      <c r="N56" s="227">
        <f t="shared" si="23"/>
        <v>25049.192307692305</v>
      </c>
      <c r="O56" s="227">
        <f t="shared" si="24"/>
        <v>131642</v>
      </c>
      <c r="P56" s="259"/>
    </row>
    <row r="57" spans="1:16" ht="15.75" x14ac:dyDescent="0.25">
      <c r="A57" s="79" t="s">
        <v>156</v>
      </c>
      <c r="B57" s="48" t="s">
        <v>66</v>
      </c>
      <c r="C57" s="127">
        <v>1</v>
      </c>
      <c r="D57" s="127"/>
      <c r="E57" s="127"/>
      <c r="F57" s="127"/>
      <c r="G57" s="127"/>
      <c r="H57" s="127"/>
      <c r="I57" s="127"/>
      <c r="J57" s="127"/>
      <c r="K57" s="127" t="s">
        <v>404</v>
      </c>
      <c r="L57" s="227">
        <f t="shared" si="21"/>
        <v>2771400</v>
      </c>
      <c r="M57" s="227">
        <f t="shared" si="22"/>
        <v>106592.30769230769</v>
      </c>
      <c r="N57" s="227">
        <f t="shared" si="23"/>
        <v>25049.192307692305</v>
      </c>
      <c r="O57" s="227">
        <f t="shared" si="24"/>
        <v>131642</v>
      </c>
      <c r="P57" s="259"/>
    </row>
    <row r="58" spans="1:16" ht="15.75" x14ac:dyDescent="0.25">
      <c r="A58" s="79" t="s">
        <v>157</v>
      </c>
      <c r="B58" s="48" t="s">
        <v>67</v>
      </c>
      <c r="C58" s="127"/>
      <c r="D58" s="127"/>
      <c r="E58" s="127"/>
      <c r="F58" s="127">
        <v>1</v>
      </c>
      <c r="G58" s="127"/>
      <c r="H58" s="127"/>
      <c r="I58" s="127"/>
      <c r="J58" s="127"/>
      <c r="K58" s="127" t="s">
        <v>400</v>
      </c>
      <c r="L58" s="227">
        <f t="shared" si="21"/>
        <v>3486600</v>
      </c>
      <c r="M58" s="227">
        <f t="shared" si="22"/>
        <v>134100</v>
      </c>
      <c r="N58" s="227">
        <f t="shared" si="23"/>
        <v>31513.5</v>
      </c>
      <c r="O58" s="227">
        <f t="shared" si="24"/>
        <v>165614</v>
      </c>
      <c r="P58" s="259"/>
    </row>
    <row r="59" spans="1:16" ht="15.75" x14ac:dyDescent="0.25">
      <c r="A59" s="79" t="s">
        <v>158</v>
      </c>
      <c r="B59" s="48" t="s">
        <v>68</v>
      </c>
      <c r="C59" s="127">
        <v>1</v>
      </c>
      <c r="D59" s="127"/>
      <c r="E59" s="127"/>
      <c r="F59" s="127"/>
      <c r="G59" s="127"/>
      <c r="H59" s="127"/>
      <c r="I59" s="127"/>
      <c r="J59" s="127"/>
      <c r="K59" s="127" t="s">
        <v>404</v>
      </c>
      <c r="L59" s="227">
        <f t="shared" si="21"/>
        <v>2771400</v>
      </c>
      <c r="M59" s="227">
        <f t="shared" si="22"/>
        <v>106592.30769230769</v>
      </c>
      <c r="N59" s="227">
        <f t="shared" si="23"/>
        <v>25049.192307692305</v>
      </c>
      <c r="O59" s="227">
        <f t="shared" si="24"/>
        <v>131642</v>
      </c>
      <c r="P59" s="259"/>
    </row>
    <row r="60" spans="1:16" ht="25.5" x14ac:dyDescent="0.25">
      <c r="A60" s="79" t="s">
        <v>159</v>
      </c>
      <c r="B60" s="48" t="s">
        <v>69</v>
      </c>
      <c r="C60" s="127"/>
      <c r="D60" s="127"/>
      <c r="E60" s="127"/>
      <c r="F60" s="127"/>
      <c r="G60" s="127"/>
      <c r="H60" s="127"/>
      <c r="I60" s="127"/>
      <c r="J60" s="127"/>
      <c r="K60" s="127"/>
      <c r="L60" s="127"/>
      <c r="M60" s="127"/>
      <c r="N60" s="127"/>
      <c r="O60" s="127"/>
      <c r="P60" s="189" t="s">
        <v>328</v>
      </c>
    </row>
    <row r="61" spans="1:16" ht="15.75" x14ac:dyDescent="0.25">
      <c r="A61" s="78" t="s">
        <v>168</v>
      </c>
      <c r="B61" s="148" t="s">
        <v>70</v>
      </c>
      <c r="C61" s="127"/>
      <c r="D61" s="127"/>
      <c r="E61" s="127"/>
      <c r="F61" s="127"/>
      <c r="G61" s="127"/>
      <c r="H61" s="127"/>
      <c r="I61" s="127"/>
      <c r="J61" s="127"/>
      <c r="K61" s="127"/>
      <c r="L61" s="127"/>
      <c r="M61" s="127"/>
      <c r="N61" s="127"/>
      <c r="O61" s="127"/>
      <c r="P61" s="259"/>
    </row>
    <row r="62" spans="1:16" ht="31.5" x14ac:dyDescent="0.25">
      <c r="A62" s="79" t="s">
        <v>162</v>
      </c>
      <c r="B62" s="48" t="s">
        <v>71</v>
      </c>
      <c r="C62" s="127">
        <v>1</v>
      </c>
      <c r="D62" s="127"/>
      <c r="E62" s="127"/>
      <c r="F62" s="127"/>
      <c r="G62" s="127"/>
      <c r="H62" s="127"/>
      <c r="I62" s="127"/>
      <c r="J62" s="127"/>
      <c r="K62" s="127" t="s">
        <v>404</v>
      </c>
      <c r="L62" s="227">
        <f>C62*$C$9+D62*$D$9+E62*$E$9+F62*$F$9+G62*$G$9+H62*$H$9+J62*$J$9+I62*$I$9</f>
        <v>2771400</v>
      </c>
      <c r="M62" s="227">
        <f>L62/26</f>
        <v>106592.30769230769</v>
      </c>
      <c r="N62" s="227">
        <f>M62*$N$8</f>
        <v>25049.192307692305</v>
      </c>
      <c r="O62" s="227">
        <f>ROUND(M62+N62,0)</f>
        <v>131642</v>
      </c>
      <c r="P62" s="259" t="s">
        <v>455</v>
      </c>
    </row>
    <row r="63" spans="1:16" ht="38.25" x14ac:dyDescent="0.2">
      <c r="A63" s="79" t="s">
        <v>163</v>
      </c>
      <c r="B63" s="48" t="s">
        <v>72</v>
      </c>
      <c r="C63" s="127"/>
      <c r="D63" s="127"/>
      <c r="E63" s="127"/>
      <c r="F63" s="127"/>
      <c r="G63" s="127"/>
      <c r="H63" s="127"/>
      <c r="I63" s="127"/>
      <c r="J63" s="127"/>
      <c r="K63" s="127"/>
      <c r="L63" s="127"/>
      <c r="M63" s="127"/>
      <c r="N63" s="127"/>
      <c r="O63" s="127"/>
      <c r="P63" s="347" t="s">
        <v>446</v>
      </c>
    </row>
    <row r="64" spans="1:16" ht="15.75" x14ac:dyDescent="0.25">
      <c r="A64" s="79" t="s">
        <v>164</v>
      </c>
      <c r="B64" s="48" t="s">
        <v>73</v>
      </c>
      <c r="C64" s="127"/>
      <c r="D64" s="127"/>
      <c r="E64" s="127"/>
      <c r="F64" s="127"/>
      <c r="G64" s="127"/>
      <c r="H64" s="127"/>
      <c r="I64" s="127"/>
      <c r="J64" s="127"/>
      <c r="K64" s="127"/>
      <c r="L64" s="127"/>
      <c r="M64" s="127"/>
      <c r="N64" s="127"/>
      <c r="O64" s="127"/>
      <c r="P64" s="259" t="s">
        <v>54</v>
      </c>
    </row>
    <row r="65" spans="1:16" ht="38.25" x14ac:dyDescent="0.25">
      <c r="A65" s="79" t="s">
        <v>165</v>
      </c>
      <c r="B65" s="48" t="s">
        <v>74</v>
      </c>
      <c r="C65" s="127"/>
      <c r="D65" s="127"/>
      <c r="E65" s="127"/>
      <c r="F65" s="127"/>
      <c r="G65" s="127"/>
      <c r="H65" s="127"/>
      <c r="I65" s="127"/>
      <c r="J65" s="127"/>
      <c r="K65" s="127"/>
      <c r="L65" s="127"/>
      <c r="M65" s="127"/>
      <c r="N65" s="127"/>
      <c r="O65" s="127"/>
      <c r="P65" s="198" t="s">
        <v>327</v>
      </c>
    </row>
    <row r="66" spans="1:16" ht="38.25" x14ac:dyDescent="0.25">
      <c r="A66" s="79" t="s">
        <v>166</v>
      </c>
      <c r="B66" s="48" t="s">
        <v>75</v>
      </c>
      <c r="C66" s="127"/>
      <c r="D66" s="127"/>
      <c r="E66" s="127"/>
      <c r="F66" s="127"/>
      <c r="G66" s="127"/>
      <c r="H66" s="127"/>
      <c r="I66" s="127"/>
      <c r="J66" s="127"/>
      <c r="K66" s="127"/>
      <c r="L66" s="127"/>
      <c r="M66" s="127"/>
      <c r="N66" s="127"/>
      <c r="O66" s="127"/>
      <c r="P66" s="198" t="s">
        <v>447</v>
      </c>
    </row>
    <row r="67" spans="1:16" ht="31.5" x14ac:dyDescent="0.25">
      <c r="A67" s="79" t="s">
        <v>167</v>
      </c>
      <c r="B67" s="48" t="s">
        <v>76</v>
      </c>
      <c r="C67" s="127">
        <v>1</v>
      </c>
      <c r="D67" s="127"/>
      <c r="E67" s="127"/>
      <c r="F67" s="127"/>
      <c r="G67" s="127"/>
      <c r="H67" s="127"/>
      <c r="I67" s="127"/>
      <c r="J67" s="127"/>
      <c r="K67" s="127" t="s">
        <v>404</v>
      </c>
      <c r="L67" s="227">
        <f>C67*$C$9+D67*$D$9+E67*$E$9+F67*$F$9+G67*$G$9+H67*$H$9+J67*$J$9+I67*$I$9</f>
        <v>2771400</v>
      </c>
      <c r="M67" s="227">
        <f>L67/26</f>
        <v>106592.30769230769</v>
      </c>
      <c r="N67" s="227">
        <f>M67*$N$8</f>
        <v>25049.192307692305</v>
      </c>
      <c r="O67" s="227">
        <f>ROUND(M67+N67,0)</f>
        <v>131642</v>
      </c>
      <c r="P67" s="259" t="s">
        <v>455</v>
      </c>
    </row>
    <row r="68" spans="1:16" ht="15.75" x14ac:dyDescent="0.25">
      <c r="A68" s="78" t="s">
        <v>173</v>
      </c>
      <c r="B68" s="148" t="s">
        <v>77</v>
      </c>
      <c r="C68" s="127"/>
      <c r="D68" s="127"/>
      <c r="E68" s="127"/>
      <c r="F68" s="127"/>
      <c r="G68" s="127"/>
      <c r="H68" s="127"/>
      <c r="I68" s="127"/>
      <c r="J68" s="127"/>
      <c r="K68" s="127"/>
      <c r="L68" s="127"/>
      <c r="M68" s="127"/>
      <c r="N68" s="127"/>
      <c r="O68" s="127"/>
      <c r="P68" s="259"/>
    </row>
    <row r="69" spans="1:16" ht="15.75" x14ac:dyDescent="0.25">
      <c r="A69" s="79" t="s">
        <v>169</v>
      </c>
      <c r="B69" s="48" t="s">
        <v>78</v>
      </c>
      <c r="C69" s="127">
        <v>1</v>
      </c>
      <c r="D69" s="127"/>
      <c r="E69" s="127"/>
      <c r="F69" s="127">
        <v>1</v>
      </c>
      <c r="G69" s="127"/>
      <c r="H69" s="127"/>
      <c r="I69" s="127"/>
      <c r="J69" s="127"/>
      <c r="K69" s="127" t="s">
        <v>452</v>
      </c>
      <c r="L69" s="227">
        <f>C69*$C$9+D69*$D$9+E69*$E$9+F69*$F$9+G69*$G$9+H69*$H$9+J69*$J$9+I69*$I$9</f>
        <v>6258000</v>
      </c>
      <c r="M69" s="227">
        <f>L69/26</f>
        <v>240692.30769230769</v>
      </c>
      <c r="N69" s="227">
        <f>M69*$N$8</f>
        <v>56562.692307692305</v>
      </c>
      <c r="O69" s="227">
        <f>ROUND(M69+N69,0)</f>
        <v>297255</v>
      </c>
      <c r="P69" s="259" t="s">
        <v>453</v>
      </c>
    </row>
    <row r="70" spans="1:16" ht="31.5" x14ac:dyDescent="0.25">
      <c r="A70" s="79" t="s">
        <v>170</v>
      </c>
      <c r="B70" s="48" t="s">
        <v>79</v>
      </c>
      <c r="C70" s="127"/>
      <c r="D70" s="127"/>
      <c r="E70" s="127"/>
      <c r="F70" s="127"/>
      <c r="G70" s="127"/>
      <c r="H70" s="127"/>
      <c r="I70" s="127"/>
      <c r="J70" s="127"/>
      <c r="K70" s="127"/>
      <c r="L70" s="127"/>
      <c r="M70" s="127"/>
      <c r="N70" s="127"/>
      <c r="O70" s="127"/>
      <c r="P70" s="266" t="s">
        <v>54</v>
      </c>
    </row>
    <row r="71" spans="1:16" ht="47.25" x14ac:dyDescent="0.25">
      <c r="A71" s="79" t="s">
        <v>171</v>
      </c>
      <c r="B71" s="48" t="s">
        <v>80</v>
      </c>
      <c r="C71" s="127">
        <v>1</v>
      </c>
      <c r="D71" s="127"/>
      <c r="E71" s="127"/>
      <c r="F71" s="127">
        <v>1</v>
      </c>
      <c r="G71" s="127"/>
      <c r="H71" s="127"/>
      <c r="I71" s="127"/>
      <c r="J71" s="127"/>
      <c r="K71" s="127" t="s">
        <v>452</v>
      </c>
      <c r="L71" s="227">
        <f>C71*$C$9+D71*$D$9+E71*$E$9+F71*$F$9+G71*$G$9+H71*$H$9+J71*$J$9+I71*$I$9</f>
        <v>6258000</v>
      </c>
      <c r="M71" s="227">
        <f>L71/26</f>
        <v>240692.30769230769</v>
      </c>
      <c r="N71" s="227">
        <f>M71*$N$8</f>
        <v>56562.692307692305</v>
      </c>
      <c r="O71" s="227">
        <f>ROUND(M71+N71,0)</f>
        <v>297255</v>
      </c>
      <c r="P71" s="259" t="s">
        <v>453</v>
      </c>
    </row>
    <row r="72" spans="1:16" ht="30.75" customHeight="1" x14ac:dyDescent="0.25">
      <c r="A72" s="79" t="s">
        <v>172</v>
      </c>
      <c r="B72" s="48" t="s">
        <v>81</v>
      </c>
      <c r="C72" s="127"/>
      <c r="D72" s="127"/>
      <c r="E72" s="127"/>
      <c r="F72" s="127"/>
      <c r="G72" s="127"/>
      <c r="H72" s="127"/>
      <c r="I72" s="127"/>
      <c r="J72" s="127"/>
      <c r="K72" s="127"/>
      <c r="L72" s="127"/>
      <c r="M72" s="127"/>
      <c r="N72" s="127"/>
      <c r="O72" s="127"/>
      <c r="P72" s="189" t="s">
        <v>328</v>
      </c>
    </row>
    <row r="73" spans="1:16" ht="15.75" x14ac:dyDescent="0.25">
      <c r="A73" s="78" t="s">
        <v>82</v>
      </c>
      <c r="B73" s="148" t="s">
        <v>84</v>
      </c>
      <c r="C73" s="127"/>
      <c r="D73" s="127"/>
      <c r="E73" s="127"/>
      <c r="F73" s="127"/>
      <c r="G73" s="127"/>
      <c r="H73" s="127"/>
      <c r="I73" s="127"/>
      <c r="J73" s="127"/>
      <c r="K73" s="127"/>
      <c r="L73" s="127"/>
      <c r="M73" s="127"/>
      <c r="N73" s="127"/>
      <c r="O73" s="127"/>
      <c r="P73" s="259"/>
    </row>
    <row r="74" spans="1:16" ht="15.75" x14ac:dyDescent="0.25">
      <c r="A74" s="78" t="s">
        <v>174</v>
      </c>
      <c r="B74" s="148" t="s">
        <v>93</v>
      </c>
      <c r="C74" s="127"/>
      <c r="D74" s="127"/>
      <c r="E74" s="127"/>
      <c r="F74" s="127"/>
      <c r="G74" s="127"/>
      <c r="H74" s="127"/>
      <c r="I74" s="127"/>
      <c r="J74" s="127"/>
      <c r="K74" s="127"/>
      <c r="L74" s="127"/>
      <c r="M74" s="127"/>
      <c r="N74" s="127"/>
      <c r="O74" s="127"/>
      <c r="P74" s="259" t="s">
        <v>457</v>
      </c>
    </row>
    <row r="75" spans="1:16" ht="15.75" hidden="1" x14ac:dyDescent="0.25">
      <c r="A75" s="79" t="s">
        <v>175</v>
      </c>
      <c r="B75" s="48" t="s">
        <v>85</v>
      </c>
      <c r="C75" s="127"/>
      <c r="D75" s="127"/>
      <c r="E75" s="127">
        <v>1</v>
      </c>
      <c r="F75" s="127"/>
      <c r="G75" s="127"/>
      <c r="H75" s="127"/>
      <c r="I75" s="127"/>
      <c r="J75" s="127"/>
      <c r="K75" s="127" t="s">
        <v>418</v>
      </c>
      <c r="L75" s="227">
        <f>C75*$C$9+D75*$D$9+E75*$E$9+F75*$F$9+G75*$G$9+H75*$H$9+J75*$J$9+I75*$I$9</f>
        <v>4261400</v>
      </c>
      <c r="M75" s="227">
        <f>L75/26</f>
        <v>163900</v>
      </c>
      <c r="N75" s="227">
        <f>M75*$N$8</f>
        <v>38516.5</v>
      </c>
      <c r="O75" s="227">
        <f>ROUND(M75+N75,0)</f>
        <v>202417</v>
      </c>
      <c r="P75" s="259"/>
    </row>
    <row r="76" spans="1:16" ht="15.75" hidden="1" x14ac:dyDescent="0.25">
      <c r="A76" s="79" t="s">
        <v>176</v>
      </c>
      <c r="B76" s="48" t="s">
        <v>86</v>
      </c>
      <c r="C76" s="127"/>
      <c r="D76" s="127"/>
      <c r="E76" s="127"/>
      <c r="F76" s="127"/>
      <c r="G76" s="127"/>
      <c r="H76" s="127"/>
      <c r="I76" s="127"/>
      <c r="J76" s="127"/>
      <c r="K76" s="127"/>
      <c r="L76" s="127"/>
      <c r="M76" s="127"/>
      <c r="N76" s="127"/>
      <c r="O76" s="127"/>
      <c r="P76" s="259"/>
    </row>
    <row r="77" spans="1:16" ht="15.75" hidden="1" x14ac:dyDescent="0.25">
      <c r="A77" s="77" t="s">
        <v>558</v>
      </c>
      <c r="B77" s="252" t="s">
        <v>90</v>
      </c>
      <c r="C77" s="47"/>
      <c r="D77" s="47"/>
      <c r="E77" s="47">
        <v>1</v>
      </c>
      <c r="F77" s="47"/>
      <c r="G77" s="47"/>
      <c r="H77" s="47"/>
      <c r="I77" s="47"/>
      <c r="J77" s="47"/>
      <c r="K77" s="47" t="s">
        <v>418</v>
      </c>
      <c r="L77" s="256">
        <f t="shared" ref="L77:L80" si="25">C77*$C$9+D77*$D$9+E77*$E$9+F77*$F$9+G77*$G$9+H77*$H$9+J77*$J$9+I77*$I$9</f>
        <v>4261400</v>
      </c>
      <c r="M77" s="256">
        <f t="shared" ref="M77:M80" si="26">L77/26</f>
        <v>163900</v>
      </c>
      <c r="N77" s="256">
        <f t="shared" ref="N77:N80" si="27">M77*$N$8</f>
        <v>38516.5</v>
      </c>
      <c r="O77" s="256">
        <f t="shared" ref="O77:O80" si="28">ROUND(M77+N77,0)</f>
        <v>202417</v>
      </c>
      <c r="P77" s="259"/>
    </row>
    <row r="78" spans="1:16" ht="15.75" hidden="1" x14ac:dyDescent="0.25">
      <c r="A78" s="77" t="s">
        <v>559</v>
      </c>
      <c r="B78" s="252" t="s">
        <v>91</v>
      </c>
      <c r="C78" s="47"/>
      <c r="D78" s="47"/>
      <c r="E78" s="47">
        <v>1</v>
      </c>
      <c r="F78" s="47"/>
      <c r="G78" s="47"/>
      <c r="H78" s="47"/>
      <c r="I78" s="47"/>
      <c r="J78" s="47"/>
      <c r="K78" s="47" t="s">
        <v>418</v>
      </c>
      <c r="L78" s="256">
        <f t="shared" si="25"/>
        <v>4261400</v>
      </c>
      <c r="M78" s="256">
        <f t="shared" si="26"/>
        <v>163900</v>
      </c>
      <c r="N78" s="256">
        <f t="shared" si="27"/>
        <v>38516.5</v>
      </c>
      <c r="O78" s="256">
        <f t="shared" si="28"/>
        <v>202417</v>
      </c>
      <c r="P78" s="259"/>
    </row>
    <row r="79" spans="1:16" ht="15.75" hidden="1" x14ac:dyDescent="0.25">
      <c r="A79" s="77" t="s">
        <v>560</v>
      </c>
      <c r="B79" s="252" t="s">
        <v>92</v>
      </c>
      <c r="C79" s="47"/>
      <c r="D79" s="47"/>
      <c r="E79" s="47">
        <v>1</v>
      </c>
      <c r="F79" s="47"/>
      <c r="G79" s="47"/>
      <c r="H79" s="47"/>
      <c r="I79" s="47"/>
      <c r="J79" s="47"/>
      <c r="K79" s="47" t="s">
        <v>418</v>
      </c>
      <c r="L79" s="256">
        <f t="shared" si="25"/>
        <v>4261400</v>
      </c>
      <c r="M79" s="256">
        <f t="shared" si="26"/>
        <v>163900</v>
      </c>
      <c r="N79" s="256">
        <f t="shared" si="27"/>
        <v>38516.5</v>
      </c>
      <c r="O79" s="256">
        <f t="shared" si="28"/>
        <v>202417</v>
      </c>
      <c r="P79" s="259"/>
    </row>
    <row r="80" spans="1:16" ht="15.75" hidden="1" x14ac:dyDescent="0.25">
      <c r="A80" s="79" t="s">
        <v>180</v>
      </c>
      <c r="B80" s="48" t="s">
        <v>87</v>
      </c>
      <c r="C80" s="127"/>
      <c r="D80" s="127"/>
      <c r="E80" s="127">
        <v>1</v>
      </c>
      <c r="F80" s="127"/>
      <c r="G80" s="127"/>
      <c r="H80" s="127"/>
      <c r="I80" s="127"/>
      <c r="J80" s="127"/>
      <c r="K80" s="127" t="s">
        <v>418</v>
      </c>
      <c r="L80" s="227">
        <f t="shared" si="25"/>
        <v>4261400</v>
      </c>
      <c r="M80" s="227">
        <f t="shared" si="26"/>
        <v>163900</v>
      </c>
      <c r="N80" s="227">
        <f t="shared" si="27"/>
        <v>38516.5</v>
      </c>
      <c r="O80" s="227">
        <f t="shared" si="28"/>
        <v>202417</v>
      </c>
      <c r="P80" s="259"/>
    </row>
    <row r="81" spans="1:16" s="59" customFormat="1" ht="15.75" hidden="1" x14ac:dyDescent="0.25">
      <c r="A81" s="79" t="s">
        <v>181</v>
      </c>
      <c r="B81" s="48" t="s">
        <v>88</v>
      </c>
      <c r="C81" s="127"/>
      <c r="D81" s="127"/>
      <c r="E81" s="127"/>
      <c r="F81" s="127"/>
      <c r="G81" s="127"/>
      <c r="H81" s="127"/>
      <c r="I81" s="127"/>
      <c r="J81" s="127"/>
      <c r="K81" s="127"/>
      <c r="L81" s="127"/>
      <c r="M81" s="127"/>
      <c r="N81" s="127"/>
      <c r="O81" s="127"/>
      <c r="P81" s="259" t="s">
        <v>54</v>
      </c>
    </row>
    <row r="82" spans="1:16" ht="15.75" x14ac:dyDescent="0.25">
      <c r="A82" s="78" t="s">
        <v>177</v>
      </c>
      <c r="B82" s="148" t="s">
        <v>94</v>
      </c>
      <c r="C82" s="127"/>
      <c r="D82" s="127"/>
      <c r="E82" s="127"/>
      <c r="F82" s="127"/>
      <c r="G82" s="127"/>
      <c r="H82" s="127"/>
      <c r="I82" s="127"/>
      <c r="J82" s="127"/>
      <c r="K82" s="127"/>
      <c r="L82" s="127"/>
      <c r="M82" s="127"/>
      <c r="N82" s="127"/>
      <c r="O82" s="127"/>
      <c r="P82" s="241">
        <v>0.82</v>
      </c>
    </row>
    <row r="83" spans="1:16" ht="15.75" hidden="1" x14ac:dyDescent="0.25">
      <c r="A83" s="79" t="s">
        <v>178</v>
      </c>
      <c r="B83" s="48" t="s">
        <v>85</v>
      </c>
      <c r="C83" s="127"/>
      <c r="D83" s="127"/>
      <c r="E83" s="127">
        <v>1</v>
      </c>
      <c r="F83" s="127"/>
      <c r="G83" s="127"/>
      <c r="H83" s="127"/>
      <c r="I83" s="127"/>
      <c r="J83" s="127"/>
      <c r="K83" s="127" t="s">
        <v>418</v>
      </c>
      <c r="L83" s="227">
        <f t="shared" ref="L83" si="29">C83*$C$9+D83*$D$9+E83*$E$9+F83*$F$9+G83*$G$9+H83*$H$9+J83*$J$9+I83*$I$9</f>
        <v>4261400</v>
      </c>
      <c r="M83" s="227">
        <f t="shared" ref="M83" si="30">L83/26</f>
        <v>163900</v>
      </c>
      <c r="N83" s="227">
        <f t="shared" ref="N83" si="31">M83*$N$8</f>
        <v>38516.5</v>
      </c>
      <c r="O83" s="227">
        <f t="shared" ref="O83" si="32">ROUND(M83+N83,0)</f>
        <v>202417</v>
      </c>
      <c r="P83" s="259"/>
    </row>
    <row r="84" spans="1:16" ht="15.75" hidden="1" x14ac:dyDescent="0.25">
      <c r="A84" s="79" t="s">
        <v>179</v>
      </c>
      <c r="B84" s="48" t="s">
        <v>86</v>
      </c>
      <c r="C84" s="127"/>
      <c r="D84" s="127"/>
      <c r="E84" s="127"/>
      <c r="F84" s="127"/>
      <c r="G84" s="127"/>
      <c r="H84" s="127"/>
      <c r="I84" s="127"/>
      <c r="J84" s="127"/>
      <c r="K84" s="127"/>
      <c r="L84" s="127"/>
      <c r="M84" s="127"/>
      <c r="N84" s="127"/>
      <c r="O84" s="127"/>
      <c r="P84" s="259"/>
    </row>
    <row r="85" spans="1:16" s="201" customFormat="1" ht="15.75" hidden="1" x14ac:dyDescent="0.25">
      <c r="A85" s="77" t="s">
        <v>552</v>
      </c>
      <c r="B85" s="252" t="s">
        <v>90</v>
      </c>
      <c r="C85" s="47"/>
      <c r="D85" s="47"/>
      <c r="E85" s="47">
        <v>1</v>
      </c>
      <c r="F85" s="47"/>
      <c r="G85" s="47"/>
      <c r="H85" s="47"/>
      <c r="I85" s="47"/>
      <c r="J85" s="47"/>
      <c r="K85" s="47" t="s">
        <v>418</v>
      </c>
      <c r="L85" s="256">
        <f t="shared" ref="L85:L88" si="33">C85*$C$9+D85*$D$9+E85*$E$9+F85*$F$9+G85*$G$9+H85*$H$9+J85*$J$9+I85*$I$9</f>
        <v>4261400</v>
      </c>
      <c r="M85" s="256">
        <f t="shared" ref="M85:M88" si="34">L85/26</f>
        <v>163900</v>
      </c>
      <c r="N85" s="256">
        <f t="shared" ref="N85:N88" si="35">M85*$N$8</f>
        <v>38516.5</v>
      </c>
      <c r="O85" s="256">
        <f t="shared" ref="O85:O88" si="36">ROUND(M85+N85,0)</f>
        <v>202417</v>
      </c>
      <c r="P85" s="259"/>
    </row>
    <row r="86" spans="1:16" s="201" customFormat="1" ht="15.75" hidden="1" x14ac:dyDescent="0.25">
      <c r="A86" s="77" t="s">
        <v>553</v>
      </c>
      <c r="B86" s="252" t="s">
        <v>91</v>
      </c>
      <c r="C86" s="47"/>
      <c r="D86" s="47"/>
      <c r="E86" s="47">
        <v>1</v>
      </c>
      <c r="F86" s="47"/>
      <c r="G86" s="47"/>
      <c r="H86" s="47"/>
      <c r="I86" s="47"/>
      <c r="J86" s="47"/>
      <c r="K86" s="47" t="s">
        <v>418</v>
      </c>
      <c r="L86" s="256">
        <f t="shared" si="33"/>
        <v>4261400</v>
      </c>
      <c r="M86" s="256">
        <f t="shared" si="34"/>
        <v>163900</v>
      </c>
      <c r="N86" s="256">
        <f t="shared" si="35"/>
        <v>38516.5</v>
      </c>
      <c r="O86" s="256">
        <f t="shared" si="36"/>
        <v>202417</v>
      </c>
      <c r="P86" s="259"/>
    </row>
    <row r="87" spans="1:16" s="201" customFormat="1" ht="15.75" hidden="1" x14ac:dyDescent="0.25">
      <c r="A87" s="77" t="s">
        <v>554</v>
      </c>
      <c r="B87" s="252" t="s">
        <v>92</v>
      </c>
      <c r="C87" s="47"/>
      <c r="D87" s="47"/>
      <c r="E87" s="47">
        <v>1</v>
      </c>
      <c r="F87" s="47"/>
      <c r="G87" s="47"/>
      <c r="H87" s="47"/>
      <c r="I87" s="47"/>
      <c r="J87" s="47"/>
      <c r="K87" s="47" t="s">
        <v>418</v>
      </c>
      <c r="L87" s="256">
        <f t="shared" si="33"/>
        <v>4261400</v>
      </c>
      <c r="M87" s="256">
        <f t="shared" si="34"/>
        <v>163900</v>
      </c>
      <c r="N87" s="256">
        <f t="shared" si="35"/>
        <v>38516.5</v>
      </c>
      <c r="O87" s="256">
        <f t="shared" si="36"/>
        <v>202417</v>
      </c>
      <c r="P87" s="259"/>
    </row>
    <row r="88" spans="1:16" ht="15.75" hidden="1" x14ac:dyDescent="0.25">
      <c r="A88" s="79" t="s">
        <v>182</v>
      </c>
      <c r="B88" s="48" t="s">
        <v>87</v>
      </c>
      <c r="C88" s="127"/>
      <c r="D88" s="127"/>
      <c r="E88" s="127">
        <v>1</v>
      </c>
      <c r="F88" s="127"/>
      <c r="G88" s="127"/>
      <c r="H88" s="127"/>
      <c r="I88" s="127"/>
      <c r="J88" s="127"/>
      <c r="K88" s="127" t="s">
        <v>418</v>
      </c>
      <c r="L88" s="227">
        <f t="shared" si="33"/>
        <v>4261400</v>
      </c>
      <c r="M88" s="227">
        <f t="shared" si="34"/>
        <v>163900</v>
      </c>
      <c r="N88" s="227">
        <f t="shared" si="35"/>
        <v>38516.5</v>
      </c>
      <c r="O88" s="227">
        <f t="shared" si="36"/>
        <v>202417</v>
      </c>
      <c r="P88" s="259"/>
    </row>
    <row r="89" spans="1:16" ht="15.75" hidden="1" x14ac:dyDescent="0.25">
      <c r="A89" s="79" t="s">
        <v>183</v>
      </c>
      <c r="B89" s="48" t="s">
        <v>88</v>
      </c>
      <c r="C89" s="127"/>
      <c r="D89" s="127"/>
      <c r="E89" s="127"/>
      <c r="F89" s="127"/>
      <c r="G89" s="127"/>
      <c r="H89" s="127"/>
      <c r="I89" s="127"/>
      <c r="J89" s="127"/>
      <c r="K89" s="127"/>
      <c r="L89" s="127"/>
      <c r="M89" s="127"/>
      <c r="N89" s="127"/>
      <c r="O89" s="127"/>
      <c r="P89" s="259" t="s">
        <v>54</v>
      </c>
    </row>
    <row r="90" spans="1:16" ht="31.5" x14ac:dyDescent="0.25">
      <c r="A90" s="269" t="s">
        <v>184</v>
      </c>
      <c r="B90" s="270" t="s">
        <v>95</v>
      </c>
      <c r="C90" s="242"/>
      <c r="D90" s="242"/>
      <c r="E90" s="242"/>
      <c r="F90" s="242"/>
      <c r="G90" s="242"/>
      <c r="H90" s="242"/>
      <c r="I90" s="242"/>
      <c r="J90" s="242"/>
      <c r="K90" s="242"/>
      <c r="L90" s="242"/>
      <c r="M90" s="242"/>
      <c r="N90" s="242"/>
      <c r="O90" s="242"/>
      <c r="P90" s="303">
        <v>1.05</v>
      </c>
    </row>
    <row r="91" spans="1:16" ht="15.75" hidden="1" x14ac:dyDescent="0.25">
      <c r="A91" s="79" t="s">
        <v>185</v>
      </c>
      <c r="B91" s="48" t="s">
        <v>85</v>
      </c>
      <c r="C91" s="127"/>
      <c r="D91" s="127"/>
      <c r="E91" s="127">
        <v>1</v>
      </c>
      <c r="F91" s="127"/>
      <c r="G91" s="127"/>
      <c r="H91" s="127"/>
      <c r="I91" s="127"/>
      <c r="J91" s="127"/>
      <c r="K91" s="127" t="s">
        <v>418</v>
      </c>
      <c r="L91" s="227">
        <f t="shared" ref="L91" si="37">C91*$C$9+D91*$D$9+E91*$E$9+F91*$F$9+G91*$G$9+H91*$H$9+J91*$J$9+I91*$I$9</f>
        <v>4261400</v>
      </c>
      <c r="M91" s="227">
        <f t="shared" ref="M91" si="38">L91/26</f>
        <v>163900</v>
      </c>
      <c r="N91" s="227">
        <f t="shared" ref="N91" si="39">M91*$N$8</f>
        <v>38516.5</v>
      </c>
      <c r="O91" s="227">
        <f t="shared" ref="O91" si="40">ROUND(M91+N91,0)</f>
        <v>202417</v>
      </c>
      <c r="P91" s="259"/>
    </row>
    <row r="92" spans="1:16" ht="15.75" hidden="1" x14ac:dyDescent="0.25">
      <c r="A92" s="79" t="s">
        <v>186</v>
      </c>
      <c r="B92" s="48" t="s">
        <v>86</v>
      </c>
      <c r="C92" s="127"/>
      <c r="D92" s="127"/>
      <c r="E92" s="127"/>
      <c r="F92" s="127"/>
      <c r="G92" s="127"/>
      <c r="H92" s="127"/>
      <c r="I92" s="127"/>
      <c r="J92" s="127"/>
      <c r="K92" s="127"/>
      <c r="L92" s="127"/>
      <c r="M92" s="127"/>
      <c r="N92" s="127"/>
      <c r="O92" s="127"/>
      <c r="P92" s="259"/>
    </row>
    <row r="93" spans="1:16" s="201" customFormat="1" ht="15.75" hidden="1" x14ac:dyDescent="0.25">
      <c r="A93" s="196" t="s">
        <v>555</v>
      </c>
      <c r="B93" s="252" t="s">
        <v>90</v>
      </c>
      <c r="C93" s="47"/>
      <c r="D93" s="47"/>
      <c r="E93" s="47">
        <v>1</v>
      </c>
      <c r="F93" s="47"/>
      <c r="G93" s="47"/>
      <c r="H93" s="47"/>
      <c r="I93" s="47"/>
      <c r="J93" s="47"/>
      <c r="K93" s="47" t="s">
        <v>418</v>
      </c>
      <c r="L93" s="256">
        <f t="shared" ref="L93:L96" si="41">C93*$C$9+D93*$D$9+E93*$E$9+F93*$F$9+G93*$G$9+H93*$H$9+J93*$J$9+I93*$I$9</f>
        <v>4261400</v>
      </c>
      <c r="M93" s="256">
        <f t="shared" ref="M93:M96" si="42">L93/26</f>
        <v>163900</v>
      </c>
      <c r="N93" s="256">
        <f t="shared" ref="N93:N96" si="43">M93*$N$8</f>
        <v>38516.5</v>
      </c>
      <c r="O93" s="256">
        <f t="shared" ref="O93:O96" si="44">ROUND(M93+N93,0)</f>
        <v>202417</v>
      </c>
      <c r="P93" s="259"/>
    </row>
    <row r="94" spans="1:16" s="201" customFormat="1" ht="15.75" hidden="1" x14ac:dyDescent="0.25">
      <c r="A94" s="196" t="s">
        <v>556</v>
      </c>
      <c r="B94" s="252" t="s">
        <v>91</v>
      </c>
      <c r="C94" s="47"/>
      <c r="D94" s="47"/>
      <c r="E94" s="47">
        <v>1</v>
      </c>
      <c r="F94" s="47"/>
      <c r="G94" s="47"/>
      <c r="H94" s="47"/>
      <c r="I94" s="47"/>
      <c r="J94" s="47"/>
      <c r="K94" s="47" t="s">
        <v>418</v>
      </c>
      <c r="L94" s="256">
        <f t="shared" si="41"/>
        <v>4261400</v>
      </c>
      <c r="M94" s="256">
        <f t="shared" si="42"/>
        <v>163900</v>
      </c>
      <c r="N94" s="256">
        <f t="shared" si="43"/>
        <v>38516.5</v>
      </c>
      <c r="O94" s="256">
        <f t="shared" si="44"/>
        <v>202417</v>
      </c>
      <c r="P94" s="259"/>
    </row>
    <row r="95" spans="1:16" s="201" customFormat="1" ht="15.75" hidden="1" x14ac:dyDescent="0.25">
      <c r="A95" s="196" t="s">
        <v>557</v>
      </c>
      <c r="B95" s="252" t="s">
        <v>92</v>
      </c>
      <c r="C95" s="47"/>
      <c r="D95" s="47"/>
      <c r="E95" s="47">
        <v>1</v>
      </c>
      <c r="F95" s="47"/>
      <c r="G95" s="47"/>
      <c r="H95" s="47"/>
      <c r="I95" s="47"/>
      <c r="J95" s="47"/>
      <c r="K95" s="47" t="s">
        <v>418</v>
      </c>
      <c r="L95" s="256">
        <f t="shared" si="41"/>
        <v>4261400</v>
      </c>
      <c r="M95" s="256">
        <f t="shared" si="42"/>
        <v>163900</v>
      </c>
      <c r="N95" s="256">
        <f t="shared" si="43"/>
        <v>38516.5</v>
      </c>
      <c r="O95" s="256">
        <f t="shared" si="44"/>
        <v>202417</v>
      </c>
      <c r="P95" s="259"/>
    </row>
    <row r="96" spans="1:16" ht="15.75" hidden="1" x14ac:dyDescent="0.25">
      <c r="A96" s="79" t="s">
        <v>187</v>
      </c>
      <c r="B96" s="48" t="s">
        <v>87</v>
      </c>
      <c r="C96" s="127"/>
      <c r="D96" s="127"/>
      <c r="E96" s="127">
        <v>1</v>
      </c>
      <c r="F96" s="127"/>
      <c r="G96" s="127"/>
      <c r="H96" s="127"/>
      <c r="I96" s="127"/>
      <c r="J96" s="127"/>
      <c r="K96" s="127" t="s">
        <v>418</v>
      </c>
      <c r="L96" s="227">
        <f t="shared" si="41"/>
        <v>4261400</v>
      </c>
      <c r="M96" s="227">
        <f t="shared" si="42"/>
        <v>163900</v>
      </c>
      <c r="N96" s="227">
        <f t="shared" si="43"/>
        <v>38516.5</v>
      </c>
      <c r="O96" s="227">
        <f t="shared" si="44"/>
        <v>202417</v>
      </c>
      <c r="P96" s="259"/>
    </row>
    <row r="97" spans="1:16" ht="15.75" hidden="1" x14ac:dyDescent="0.25">
      <c r="A97" s="116" t="s">
        <v>188</v>
      </c>
      <c r="B97" s="117" t="s">
        <v>88</v>
      </c>
      <c r="C97" s="242"/>
      <c r="D97" s="242"/>
      <c r="E97" s="242"/>
      <c r="F97" s="242"/>
      <c r="G97" s="242"/>
      <c r="H97" s="242"/>
      <c r="I97" s="242"/>
      <c r="J97" s="242"/>
      <c r="K97" s="242"/>
      <c r="L97" s="242"/>
      <c r="M97" s="242"/>
      <c r="N97" s="242"/>
      <c r="O97" s="242"/>
      <c r="P97" s="259" t="s">
        <v>54</v>
      </c>
    </row>
    <row r="98" spans="1:16" ht="31.5" x14ac:dyDescent="0.25">
      <c r="A98" s="269" t="s">
        <v>617</v>
      </c>
      <c r="B98" s="143" t="s">
        <v>618</v>
      </c>
      <c r="C98" s="127"/>
      <c r="D98" s="127"/>
      <c r="E98" s="127"/>
      <c r="F98" s="127"/>
      <c r="G98" s="127"/>
      <c r="H98" s="127"/>
      <c r="I98" s="127"/>
      <c r="J98" s="127"/>
      <c r="K98" s="127"/>
      <c r="L98" s="127"/>
      <c r="M98" s="127"/>
      <c r="N98" s="127"/>
      <c r="O98" s="413"/>
      <c r="P98" s="282">
        <v>0.79</v>
      </c>
    </row>
    <row r="99" spans="1:16" ht="15.75" hidden="1" x14ac:dyDescent="0.25">
      <c r="A99" s="79" t="s">
        <v>619</v>
      </c>
      <c r="B99" s="48" t="s">
        <v>85</v>
      </c>
      <c r="C99" s="127"/>
      <c r="D99" s="127"/>
      <c r="E99" s="127">
        <v>1</v>
      </c>
      <c r="F99" s="127"/>
      <c r="G99" s="127"/>
      <c r="H99" s="127"/>
      <c r="I99" s="127"/>
      <c r="J99" s="127"/>
      <c r="K99" s="127" t="s">
        <v>418</v>
      </c>
      <c r="L99" s="227">
        <f t="shared" ref="L99" si="45">C99*$C$9+D99*$D$9+E99*$E$9+F99*$F$9+G99*$G$9+H99*$H$9+J99*$J$9+I99*$I$9</f>
        <v>4261400</v>
      </c>
      <c r="M99" s="227">
        <f t="shared" ref="M99" si="46">L99/26</f>
        <v>163900</v>
      </c>
      <c r="N99" s="227">
        <f t="shared" ref="N99" si="47">M99*$N$8</f>
        <v>38516.5</v>
      </c>
      <c r="O99" s="414">
        <f t="shared" ref="O99" si="48">ROUND(M99+N99,0)</f>
        <v>202417</v>
      </c>
      <c r="P99" s="259"/>
    </row>
    <row r="100" spans="1:16" ht="15.75" hidden="1" x14ac:dyDescent="0.25">
      <c r="A100" s="79" t="s">
        <v>620</v>
      </c>
      <c r="B100" s="48" t="s">
        <v>86</v>
      </c>
      <c r="C100" s="127"/>
      <c r="D100" s="127"/>
      <c r="E100" s="127"/>
      <c r="F100" s="127"/>
      <c r="G100" s="127"/>
      <c r="H100" s="127"/>
      <c r="I100" s="127"/>
      <c r="J100" s="127"/>
      <c r="K100" s="127"/>
      <c r="L100" s="127"/>
      <c r="M100" s="127"/>
      <c r="N100" s="127"/>
      <c r="O100" s="413"/>
      <c r="P100" s="259"/>
    </row>
    <row r="101" spans="1:16" ht="15.75" hidden="1" x14ac:dyDescent="0.25">
      <c r="A101" s="196" t="s">
        <v>621</v>
      </c>
      <c r="B101" s="252" t="s">
        <v>90</v>
      </c>
      <c r="C101" s="127"/>
      <c r="D101" s="127"/>
      <c r="E101" s="127">
        <v>1</v>
      </c>
      <c r="F101" s="127"/>
      <c r="G101" s="127"/>
      <c r="H101" s="127"/>
      <c r="I101" s="127"/>
      <c r="J101" s="127"/>
      <c r="K101" s="127" t="s">
        <v>418</v>
      </c>
      <c r="L101" s="227">
        <f t="shared" ref="L101:L104" si="49">C101*$C$9+D101*$D$9+E101*$E$9+F101*$F$9+G101*$G$9+H101*$H$9+J101*$J$9+I101*$I$9</f>
        <v>4261400</v>
      </c>
      <c r="M101" s="227">
        <f t="shared" ref="M101:M104" si="50">L101/26</f>
        <v>163900</v>
      </c>
      <c r="N101" s="227">
        <f t="shared" ref="N101:N104" si="51">M101*$N$8</f>
        <v>38516.5</v>
      </c>
      <c r="O101" s="414">
        <f t="shared" ref="O101:O104" si="52">ROUND(M101+N101,0)</f>
        <v>202417</v>
      </c>
      <c r="P101" s="259"/>
    </row>
    <row r="102" spans="1:16" ht="15.75" hidden="1" x14ac:dyDescent="0.25">
      <c r="A102" s="196" t="s">
        <v>622</v>
      </c>
      <c r="B102" s="252" t="s">
        <v>91</v>
      </c>
      <c r="C102" s="127"/>
      <c r="D102" s="127"/>
      <c r="E102" s="127">
        <v>1</v>
      </c>
      <c r="F102" s="127"/>
      <c r="G102" s="127"/>
      <c r="H102" s="127"/>
      <c r="I102" s="127"/>
      <c r="J102" s="127"/>
      <c r="K102" s="127" t="s">
        <v>418</v>
      </c>
      <c r="L102" s="227">
        <f t="shared" si="49"/>
        <v>4261400</v>
      </c>
      <c r="M102" s="227">
        <f t="shared" si="50"/>
        <v>163900</v>
      </c>
      <c r="N102" s="227">
        <f t="shared" si="51"/>
        <v>38516.5</v>
      </c>
      <c r="O102" s="414">
        <f t="shared" si="52"/>
        <v>202417</v>
      </c>
      <c r="P102" s="259"/>
    </row>
    <row r="103" spans="1:16" ht="15.75" hidden="1" x14ac:dyDescent="0.25">
      <c r="A103" s="196" t="s">
        <v>623</v>
      </c>
      <c r="B103" s="252" t="s">
        <v>92</v>
      </c>
      <c r="C103" s="127"/>
      <c r="D103" s="127"/>
      <c r="E103" s="127">
        <v>1</v>
      </c>
      <c r="F103" s="127"/>
      <c r="G103" s="127"/>
      <c r="H103" s="127"/>
      <c r="I103" s="127"/>
      <c r="J103" s="127"/>
      <c r="K103" s="127" t="s">
        <v>418</v>
      </c>
      <c r="L103" s="227">
        <f t="shared" si="49"/>
        <v>4261400</v>
      </c>
      <c r="M103" s="227">
        <f t="shared" si="50"/>
        <v>163900</v>
      </c>
      <c r="N103" s="227">
        <f t="shared" si="51"/>
        <v>38516.5</v>
      </c>
      <c r="O103" s="414">
        <f t="shared" si="52"/>
        <v>202417</v>
      </c>
      <c r="P103" s="259"/>
    </row>
    <row r="104" spans="1:16" ht="15.75" hidden="1" x14ac:dyDescent="0.25">
      <c r="A104" s="79" t="s">
        <v>624</v>
      </c>
      <c r="B104" s="48" t="s">
        <v>87</v>
      </c>
      <c r="C104" s="127"/>
      <c r="D104" s="127"/>
      <c r="E104" s="127">
        <v>1</v>
      </c>
      <c r="F104" s="127"/>
      <c r="G104" s="127"/>
      <c r="H104" s="127"/>
      <c r="I104" s="127"/>
      <c r="J104" s="127"/>
      <c r="K104" s="127" t="s">
        <v>418</v>
      </c>
      <c r="L104" s="227">
        <f t="shared" si="49"/>
        <v>4261400</v>
      </c>
      <c r="M104" s="227">
        <f t="shared" si="50"/>
        <v>163900</v>
      </c>
      <c r="N104" s="227">
        <f t="shared" si="51"/>
        <v>38516.5</v>
      </c>
      <c r="O104" s="414">
        <f t="shared" si="52"/>
        <v>202417</v>
      </c>
      <c r="P104" s="259"/>
    </row>
    <row r="105" spans="1:16" ht="15.75" hidden="1" x14ac:dyDescent="0.25">
      <c r="A105" s="116" t="s">
        <v>625</v>
      </c>
      <c r="B105" s="117" t="s">
        <v>88</v>
      </c>
      <c r="C105" s="242"/>
      <c r="D105" s="242"/>
      <c r="E105" s="242"/>
      <c r="F105" s="242"/>
      <c r="G105" s="242"/>
      <c r="H105" s="242"/>
      <c r="I105" s="242"/>
      <c r="J105" s="242"/>
      <c r="K105" s="242"/>
      <c r="L105" s="242"/>
      <c r="M105" s="242"/>
      <c r="N105" s="242"/>
      <c r="O105" s="415"/>
      <c r="P105" s="297" t="s">
        <v>54</v>
      </c>
    </row>
    <row r="106" spans="1:16" ht="15.75" x14ac:dyDescent="0.25">
      <c r="A106" s="433"/>
      <c r="B106" s="433"/>
      <c r="C106" s="242"/>
      <c r="D106" s="242"/>
      <c r="E106" s="242"/>
      <c r="F106" s="242"/>
      <c r="G106" s="242"/>
      <c r="H106" s="242"/>
      <c r="I106" s="242"/>
      <c r="J106" s="242"/>
      <c r="K106" s="242"/>
      <c r="L106" s="242"/>
      <c r="M106" s="242"/>
      <c r="N106" s="242"/>
      <c r="O106" s="415"/>
      <c r="P106" s="297"/>
    </row>
  </sheetData>
  <mergeCells count="4">
    <mergeCell ref="A1:P1"/>
    <mergeCell ref="A2:P2"/>
    <mergeCell ref="A3:P3"/>
    <mergeCell ref="A4:P4"/>
  </mergeCells>
  <pageMargins left="0.7" right="0.7" top="0.75" bottom="0.75" header="0.3" footer="0.3"/>
  <pageSetup paperSize="9" orientation="portrait"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J100"/>
  <sheetViews>
    <sheetView zoomScale="90" zoomScaleNormal="90" workbookViewId="0">
      <pane ySplit="8" topLeftCell="A12" activePane="bottomLeft" state="frozen"/>
      <selection pane="bottomLeft" activeCell="A5" sqref="A5"/>
    </sheetView>
  </sheetViews>
  <sheetFormatPr defaultRowHeight="15" x14ac:dyDescent="0.25"/>
  <cols>
    <col min="1" max="1" width="8.140625" bestFit="1" customWidth="1"/>
    <col min="2" max="2" width="69.28515625" customWidth="1"/>
    <col min="3" max="3" width="13.28515625" customWidth="1"/>
    <col min="4" max="4" width="13.5703125" customWidth="1"/>
    <col min="5" max="5" width="19.85546875" style="22" customWidth="1"/>
    <col min="6" max="6" width="13.85546875" style="22" customWidth="1"/>
    <col min="7" max="7" width="18.42578125" style="71" customWidth="1"/>
    <col min="8" max="8" width="17.42578125" style="155" customWidth="1"/>
    <col min="9" max="9" width="13.28515625" style="138" bestFit="1" customWidth="1"/>
    <col min="10" max="10" width="19.5703125" customWidth="1"/>
  </cols>
  <sheetData>
    <row r="1" spans="1:10" ht="15.75" x14ac:dyDescent="0.25">
      <c r="A1" s="442" t="s">
        <v>374</v>
      </c>
      <c r="B1" s="442"/>
      <c r="C1" s="442"/>
      <c r="D1" s="442"/>
      <c r="E1" s="442"/>
      <c r="F1" s="442"/>
      <c r="G1" s="442"/>
      <c r="H1" s="442"/>
      <c r="I1" s="442"/>
      <c r="J1" s="442"/>
    </row>
    <row r="2" spans="1:10" ht="15.75" x14ac:dyDescent="0.25">
      <c r="A2" s="443" t="s">
        <v>268</v>
      </c>
      <c r="B2" s="443"/>
      <c r="C2" s="443"/>
      <c r="D2" s="443"/>
      <c r="E2" s="443"/>
      <c r="F2" s="443"/>
      <c r="G2" s="443"/>
      <c r="H2" s="443"/>
      <c r="I2" s="443"/>
      <c r="J2" s="443"/>
    </row>
    <row r="3" spans="1:10" ht="15.75" x14ac:dyDescent="0.25">
      <c r="A3" s="443" t="s">
        <v>194</v>
      </c>
      <c r="B3" s="443"/>
      <c r="C3" s="443"/>
      <c r="D3" s="443"/>
      <c r="E3" s="443"/>
      <c r="F3" s="443"/>
      <c r="G3" s="443"/>
      <c r="H3" s="443"/>
      <c r="I3" s="443"/>
      <c r="J3" s="443"/>
    </row>
    <row r="4" spans="1:10" ht="15.75" x14ac:dyDescent="0.25">
      <c r="A4" s="444" t="s">
        <v>664</v>
      </c>
      <c r="B4" s="444"/>
      <c r="C4" s="444"/>
      <c r="D4" s="444"/>
      <c r="E4" s="444"/>
      <c r="F4" s="444"/>
      <c r="G4" s="444"/>
      <c r="H4" s="444"/>
      <c r="I4" s="444"/>
      <c r="J4" s="444"/>
    </row>
    <row r="7" spans="1:10" ht="15.75" x14ac:dyDescent="0.25">
      <c r="A7" s="23" t="s">
        <v>235</v>
      </c>
    </row>
    <row r="8" spans="1:10" ht="31.5" x14ac:dyDescent="0.25">
      <c r="A8" s="86" t="s">
        <v>96</v>
      </c>
      <c r="B8" s="87" t="s">
        <v>97</v>
      </c>
      <c r="C8" s="87" t="s">
        <v>98</v>
      </c>
      <c r="D8" s="87" t="s">
        <v>191</v>
      </c>
      <c r="E8" s="88" t="s">
        <v>231</v>
      </c>
      <c r="F8" s="88" t="s">
        <v>212</v>
      </c>
      <c r="G8" s="89" t="s">
        <v>195</v>
      </c>
      <c r="H8" s="139" t="s">
        <v>602</v>
      </c>
      <c r="I8" s="140" t="s">
        <v>196</v>
      </c>
      <c r="J8" s="90" t="s">
        <v>53</v>
      </c>
    </row>
    <row r="9" spans="1:10" s="18" customFormat="1" ht="15.75" x14ac:dyDescent="0.25">
      <c r="A9" s="77" t="s">
        <v>11</v>
      </c>
      <c r="B9" s="17" t="s">
        <v>12</v>
      </c>
      <c r="C9" s="17" t="s">
        <v>13</v>
      </c>
      <c r="D9" s="75">
        <v>1</v>
      </c>
      <c r="E9" s="17">
        <v>2</v>
      </c>
      <c r="F9" s="17">
        <v>3</v>
      </c>
      <c r="G9" s="91">
        <v>4</v>
      </c>
      <c r="H9" s="141" t="s">
        <v>218</v>
      </c>
      <c r="I9" s="142" t="s">
        <v>213</v>
      </c>
      <c r="J9" s="92"/>
    </row>
    <row r="10" spans="1:10" s="36" customFormat="1" ht="102" x14ac:dyDescent="0.25">
      <c r="A10" s="146" t="s">
        <v>442</v>
      </c>
      <c r="B10" s="131" t="s">
        <v>441</v>
      </c>
      <c r="C10" s="93"/>
      <c r="D10" s="74"/>
      <c r="E10" s="55"/>
      <c r="F10" s="55"/>
      <c r="G10" s="192"/>
      <c r="H10" s="324"/>
      <c r="I10" s="193"/>
      <c r="J10" s="325" t="s">
        <v>583</v>
      </c>
    </row>
    <row r="11" spans="1:10" s="36" customFormat="1" ht="15.75" x14ac:dyDescent="0.25">
      <c r="A11" s="306" t="s">
        <v>443</v>
      </c>
      <c r="B11" s="307" t="s">
        <v>326</v>
      </c>
      <c r="C11" s="277" t="s">
        <v>323</v>
      </c>
      <c r="D11" s="308"/>
      <c r="E11" s="309"/>
      <c r="F11" s="309"/>
      <c r="G11" s="310"/>
      <c r="H11" s="311"/>
      <c r="I11" s="312">
        <f>SUM(I12:I14)</f>
        <v>65.831382545454545</v>
      </c>
      <c r="J11" s="313"/>
    </row>
    <row r="12" spans="1:10" ht="15.75" x14ac:dyDescent="0.25">
      <c r="A12" s="94" t="s">
        <v>89</v>
      </c>
      <c r="B12" s="95" t="s">
        <v>324</v>
      </c>
      <c r="C12" s="96" t="s">
        <v>200</v>
      </c>
      <c r="D12" s="96">
        <v>0.4</v>
      </c>
      <c r="E12" s="153">
        <v>8.0000000000000002E-3</v>
      </c>
      <c r="F12" s="76">
        <f>VLOOKUP(B12,Table1[[TÊN VẬT TƯ]:[THỜI HẠN]],4,0)</f>
        <v>5</v>
      </c>
      <c r="G12" s="97">
        <f>VLOOKUP(B12,Table1[[TÊN VẬT TƯ]:[THỜI HẠN]],3,0)</f>
        <v>13636363.636363635</v>
      </c>
      <c r="H12" s="156">
        <f t="shared" ref="H12:H13" si="0">G12/F12/500</f>
        <v>5454.545454545454</v>
      </c>
      <c r="I12" s="132">
        <f t="shared" ref="I12:I13" si="1">H12*E12</f>
        <v>43.636363636363633</v>
      </c>
      <c r="J12" s="98"/>
    </row>
    <row r="13" spans="1:10" ht="15.75" x14ac:dyDescent="0.25">
      <c r="A13" s="94" t="s">
        <v>89</v>
      </c>
      <c r="B13" s="95" t="s">
        <v>325</v>
      </c>
      <c r="C13" s="96" t="s">
        <v>107</v>
      </c>
      <c r="D13" s="96">
        <v>0.6</v>
      </c>
      <c r="E13" s="153">
        <v>6.0000000000000001E-3</v>
      </c>
      <c r="F13" s="76">
        <f>VLOOKUP(B13,Table1[[TÊN VẬT TƯ]:[THỜI HẠN]],4,0)</f>
        <v>5</v>
      </c>
      <c r="G13" s="97">
        <f>VLOOKUP(B13,Table1[[TÊN VẬT TƯ]:[THỜI HẠN]],3,0)</f>
        <v>8449000</v>
      </c>
      <c r="H13" s="156">
        <f t="shared" si="0"/>
        <v>3379.6</v>
      </c>
      <c r="I13" s="132">
        <f t="shared" si="1"/>
        <v>20.2776</v>
      </c>
      <c r="J13" s="98"/>
    </row>
    <row r="14" spans="1:10" ht="15.75" x14ac:dyDescent="0.25">
      <c r="A14" s="94" t="s">
        <v>89</v>
      </c>
      <c r="B14" s="95" t="s">
        <v>223</v>
      </c>
      <c r="C14" s="96" t="s">
        <v>209</v>
      </c>
      <c r="D14" s="96"/>
      <c r="E14" s="153">
        <v>3</v>
      </c>
      <c r="F14" s="99"/>
      <c r="G14" s="97"/>
      <c r="H14" s="157"/>
      <c r="I14" s="132">
        <f>SUM(I12:I13)*THIETBI26[[#This Row],[Mức (ca/trường)]]%</f>
        <v>1.9174189090909088</v>
      </c>
      <c r="J14" s="98"/>
    </row>
    <row r="15" spans="1:10" s="36" customFormat="1" ht="15.75" x14ac:dyDescent="0.25">
      <c r="A15" s="306" t="s">
        <v>474</v>
      </c>
      <c r="B15" s="307" t="s">
        <v>448</v>
      </c>
      <c r="C15" s="277" t="s">
        <v>323</v>
      </c>
      <c r="D15" s="308"/>
      <c r="E15" s="309"/>
      <c r="F15" s="309"/>
      <c r="G15" s="310"/>
      <c r="H15" s="311"/>
      <c r="I15" s="312">
        <f>SUM(I16:I18)</f>
        <v>11.236363636363636</v>
      </c>
      <c r="J15" s="313"/>
    </row>
    <row r="16" spans="1:10" ht="15.75" x14ac:dyDescent="0.25">
      <c r="A16" s="94" t="s">
        <v>89</v>
      </c>
      <c r="B16" s="95" t="s">
        <v>324</v>
      </c>
      <c r="C16" s="96" t="s">
        <v>200</v>
      </c>
      <c r="D16" s="96">
        <v>0.4</v>
      </c>
      <c r="E16" s="153">
        <v>2E-3</v>
      </c>
      <c r="F16" s="76">
        <f>VLOOKUP(B16,Table1[[TÊN VẬT TƯ]:[THỜI HẠN]],4,0)</f>
        <v>5</v>
      </c>
      <c r="G16" s="97">
        <f>VLOOKUP(B16,Table1[[TÊN VẬT TƯ]:[THỜI HẠN]],3,0)</f>
        <v>13636363.636363635</v>
      </c>
      <c r="H16" s="156">
        <f t="shared" ref="H16:H17" si="2">G16/F16/500</f>
        <v>5454.545454545454</v>
      </c>
      <c r="I16" s="132">
        <f t="shared" ref="I16:I17" si="3">H16*E16</f>
        <v>10.909090909090908</v>
      </c>
      <c r="J16" s="98"/>
    </row>
    <row r="17" spans="1:10" ht="15.75" x14ac:dyDescent="0.25">
      <c r="A17" s="94" t="s">
        <v>89</v>
      </c>
      <c r="B17" s="95" t="s">
        <v>325</v>
      </c>
      <c r="C17" s="96" t="s">
        <v>107</v>
      </c>
      <c r="D17" s="96">
        <v>0.6</v>
      </c>
      <c r="E17" s="153">
        <v>0</v>
      </c>
      <c r="F17" s="76">
        <f>VLOOKUP(B17,Table1[[TÊN VẬT TƯ]:[THỜI HẠN]],4,0)</f>
        <v>5</v>
      </c>
      <c r="G17" s="97">
        <f>VLOOKUP(B17,Table1[[TÊN VẬT TƯ]:[THỜI HẠN]],3,0)</f>
        <v>8449000</v>
      </c>
      <c r="H17" s="156">
        <f t="shared" si="2"/>
        <v>3379.6</v>
      </c>
      <c r="I17" s="132">
        <f t="shared" si="3"/>
        <v>0</v>
      </c>
      <c r="J17" s="98"/>
    </row>
    <row r="18" spans="1:10" ht="15.75" x14ac:dyDescent="0.25">
      <c r="A18" s="94" t="s">
        <v>89</v>
      </c>
      <c r="B18" s="95" t="s">
        <v>223</v>
      </c>
      <c r="C18" s="96" t="s">
        <v>209</v>
      </c>
      <c r="D18" s="96"/>
      <c r="E18" s="153">
        <v>3</v>
      </c>
      <c r="F18" s="99"/>
      <c r="G18" s="97"/>
      <c r="H18" s="157"/>
      <c r="I18" s="132">
        <f>SUM(I16:I17)*THIETBI26[[#This Row],[Mức (ca/trường)]]%</f>
        <v>0.32727272727272722</v>
      </c>
      <c r="J18" s="98"/>
    </row>
    <row r="19" spans="1:10" ht="15" customHeight="1" x14ac:dyDescent="0.25">
      <c r="A19" s="78" t="s">
        <v>440</v>
      </c>
      <c r="B19" s="55" t="s">
        <v>439</v>
      </c>
      <c r="C19" s="100"/>
      <c r="D19" s="37"/>
      <c r="E19" s="37"/>
      <c r="F19" s="37"/>
      <c r="G19" s="101"/>
      <c r="H19" s="156"/>
      <c r="I19" s="132"/>
      <c r="J19" s="102"/>
    </row>
    <row r="20" spans="1:10" ht="15.75" x14ac:dyDescent="0.25">
      <c r="A20" s="204" t="s">
        <v>228</v>
      </c>
      <c r="B20" s="174" t="s">
        <v>413</v>
      </c>
      <c r="C20" s="173"/>
      <c r="D20" s="174"/>
      <c r="E20" s="174"/>
      <c r="F20" s="174"/>
      <c r="G20" s="175"/>
      <c r="H20" s="176"/>
      <c r="I20" s="178">
        <f>I21+I24+I27+I30+I33+I36+I39+I42</f>
        <v>616.63418181818179</v>
      </c>
      <c r="J20" s="314" t="s">
        <v>488</v>
      </c>
    </row>
    <row r="21" spans="1:10" ht="15.75" customHeight="1" x14ac:dyDescent="0.25">
      <c r="A21" s="306" t="s">
        <v>475</v>
      </c>
      <c r="B21" s="194" t="s">
        <v>224</v>
      </c>
      <c r="C21" s="277" t="s">
        <v>322</v>
      </c>
      <c r="D21" s="194"/>
      <c r="E21" s="194"/>
      <c r="F21" s="194"/>
      <c r="G21" s="315"/>
      <c r="H21" s="141"/>
      <c r="I21" s="142">
        <f>SUM(I22:I23)</f>
        <v>13.405090909090911</v>
      </c>
      <c r="J21" s="92"/>
    </row>
    <row r="22" spans="1:10" ht="15.75" x14ac:dyDescent="0.25">
      <c r="A22" s="94" t="s">
        <v>89</v>
      </c>
      <c r="B22" s="95" t="s">
        <v>324</v>
      </c>
      <c r="C22" s="56" t="s">
        <v>200</v>
      </c>
      <c r="D22" s="56">
        <v>0.4</v>
      </c>
      <c r="E22" s="154">
        <v>3.0000000000000001E-3</v>
      </c>
      <c r="F22" s="76">
        <f>VLOOKUP(B22,Table1[[TÊN VẬT TƯ]:[THỜI HẠN]],4,0)</f>
        <v>5</v>
      </c>
      <c r="G22" s="97">
        <f>VLOOKUP(B22,Table1[[TÊN VẬT TƯ]:[THỜI HẠN]],3,0)</f>
        <v>13636363.636363635</v>
      </c>
      <c r="H22" s="156">
        <f>G22/F22/500</f>
        <v>5454.545454545454</v>
      </c>
      <c r="I22" s="132">
        <f>H22*E22*0.8</f>
        <v>13.090909090909092</v>
      </c>
      <c r="J22" s="102"/>
    </row>
    <row r="23" spans="1:10" ht="15.75" x14ac:dyDescent="0.25">
      <c r="A23" s="94" t="s">
        <v>89</v>
      </c>
      <c r="B23" s="37" t="s">
        <v>223</v>
      </c>
      <c r="C23" s="56" t="s">
        <v>209</v>
      </c>
      <c r="D23" s="103"/>
      <c r="E23" s="76">
        <v>3</v>
      </c>
      <c r="F23" s="76"/>
      <c r="G23" s="104"/>
      <c r="H23" s="156"/>
      <c r="I23" s="371">
        <f>I22*E23%*0.8</f>
        <v>0.31418181818181823</v>
      </c>
      <c r="J23" s="102"/>
    </row>
    <row r="24" spans="1:10" ht="15.75" customHeight="1" x14ac:dyDescent="0.25">
      <c r="A24" s="306" t="s">
        <v>476</v>
      </c>
      <c r="B24" s="194" t="s">
        <v>232</v>
      </c>
      <c r="C24" s="277" t="s">
        <v>323</v>
      </c>
      <c r="D24" s="194"/>
      <c r="E24" s="194"/>
      <c r="F24" s="194"/>
      <c r="G24" s="315"/>
      <c r="H24" s="141"/>
      <c r="I24" s="142">
        <f>SUM(I25:I26)</f>
        <v>223.41818181818181</v>
      </c>
      <c r="J24" s="92"/>
    </row>
    <row r="25" spans="1:10" ht="15.75" x14ac:dyDescent="0.25">
      <c r="A25" s="94" t="s">
        <v>89</v>
      </c>
      <c r="B25" s="95" t="s">
        <v>324</v>
      </c>
      <c r="C25" s="56" t="s">
        <v>200</v>
      </c>
      <c r="D25" s="56">
        <v>0.4</v>
      </c>
      <c r="E25" s="154">
        <v>0.05</v>
      </c>
      <c r="F25" s="76">
        <f>VLOOKUP(B25,Table1[[TÊN VẬT TƯ]:[THỜI HẠN]],4,0)</f>
        <v>5</v>
      </c>
      <c r="G25" s="97">
        <f>VLOOKUP(B25,Table1[[TÊN VẬT TƯ]:[THỜI HẠN]],3,0)</f>
        <v>13636363.636363635</v>
      </c>
      <c r="H25" s="156">
        <f>G25/F25/500</f>
        <v>5454.545454545454</v>
      </c>
      <c r="I25" s="132">
        <f t="shared" ref="I25" si="4">H25*E25*0.8</f>
        <v>218.18181818181816</v>
      </c>
      <c r="J25" s="102"/>
    </row>
    <row r="26" spans="1:10" ht="15.75" x14ac:dyDescent="0.25">
      <c r="A26" s="94" t="s">
        <v>89</v>
      </c>
      <c r="B26" s="37" t="s">
        <v>223</v>
      </c>
      <c r="C26" s="56" t="s">
        <v>209</v>
      </c>
      <c r="D26" s="103"/>
      <c r="E26" s="76">
        <v>3</v>
      </c>
      <c r="F26" s="76"/>
      <c r="G26" s="104"/>
      <c r="H26" s="156"/>
      <c r="I26" s="371">
        <f>I25*E26%*0.8</f>
        <v>5.2363636363636354</v>
      </c>
      <c r="J26" s="102"/>
    </row>
    <row r="27" spans="1:10" ht="15.75" x14ac:dyDescent="0.25">
      <c r="A27" s="306" t="s">
        <v>477</v>
      </c>
      <c r="B27" s="194" t="s">
        <v>225</v>
      </c>
      <c r="C27" s="277" t="s">
        <v>322</v>
      </c>
      <c r="D27" s="194"/>
      <c r="E27" s="194"/>
      <c r="F27" s="194"/>
      <c r="G27" s="315"/>
      <c r="H27" s="141"/>
      <c r="I27" s="142">
        <f>SUM(I28:I29)</f>
        <v>13.405090909090911</v>
      </c>
      <c r="J27" s="92"/>
    </row>
    <row r="28" spans="1:10" ht="15.75" x14ac:dyDescent="0.25">
      <c r="A28" s="94" t="s">
        <v>89</v>
      </c>
      <c r="B28" s="95" t="s">
        <v>324</v>
      </c>
      <c r="C28" s="56" t="s">
        <v>200</v>
      </c>
      <c r="D28" s="56">
        <v>0.4</v>
      </c>
      <c r="E28" s="154">
        <v>3.0000000000000001E-3</v>
      </c>
      <c r="F28" s="76">
        <f>VLOOKUP(B28,Table1[[TÊN VẬT TƯ]:[THỜI HẠN]],4,0)</f>
        <v>5</v>
      </c>
      <c r="G28" s="97">
        <f>VLOOKUP(B28,Table1[[TÊN VẬT TƯ]:[THỜI HẠN]],3,0)</f>
        <v>13636363.636363635</v>
      </c>
      <c r="H28" s="156">
        <f>G28/F28/500</f>
        <v>5454.545454545454</v>
      </c>
      <c r="I28" s="132">
        <f t="shared" ref="I28" si="5">H28*E28*0.8</f>
        <v>13.090909090909092</v>
      </c>
      <c r="J28" s="102"/>
    </row>
    <row r="29" spans="1:10" ht="15.75" x14ac:dyDescent="0.25">
      <c r="A29" s="94" t="s">
        <v>89</v>
      </c>
      <c r="B29" s="37" t="s">
        <v>223</v>
      </c>
      <c r="C29" s="56" t="s">
        <v>209</v>
      </c>
      <c r="D29" s="103"/>
      <c r="E29" s="76">
        <v>3</v>
      </c>
      <c r="F29" s="76"/>
      <c r="G29" s="104"/>
      <c r="H29" s="156"/>
      <c r="I29" s="371">
        <f>I28*E29%*0.8</f>
        <v>0.31418181818181823</v>
      </c>
      <c r="J29" s="102"/>
    </row>
    <row r="30" spans="1:10" ht="15.75" x14ac:dyDescent="0.25">
      <c r="A30" s="306" t="s">
        <v>478</v>
      </c>
      <c r="B30" s="194" t="s">
        <v>233</v>
      </c>
      <c r="C30" s="277" t="s">
        <v>323</v>
      </c>
      <c r="D30" s="194"/>
      <c r="E30" s="194"/>
      <c r="F30" s="194"/>
      <c r="G30" s="315"/>
      <c r="H30" s="141"/>
      <c r="I30" s="142">
        <f>SUM(I31:I32)</f>
        <v>223.41818181818181</v>
      </c>
      <c r="J30" s="92"/>
    </row>
    <row r="31" spans="1:10" ht="15.75" x14ac:dyDescent="0.25">
      <c r="A31" s="94" t="s">
        <v>89</v>
      </c>
      <c r="B31" s="95" t="s">
        <v>324</v>
      </c>
      <c r="C31" s="56" t="s">
        <v>200</v>
      </c>
      <c r="D31" s="56">
        <v>0.4</v>
      </c>
      <c r="E31" s="154">
        <v>0.05</v>
      </c>
      <c r="F31" s="76">
        <f>VLOOKUP(B31,Table1[[TÊN VẬT TƯ]:[THỜI HẠN]],4,0)</f>
        <v>5</v>
      </c>
      <c r="G31" s="97">
        <f>VLOOKUP(B31,Table1[[TÊN VẬT TƯ]:[THỜI HẠN]],3,0)</f>
        <v>13636363.636363635</v>
      </c>
      <c r="H31" s="156">
        <f>G31/F31/500</f>
        <v>5454.545454545454</v>
      </c>
      <c r="I31" s="132">
        <f t="shared" ref="I31" si="6">H31*E31*0.8</f>
        <v>218.18181818181816</v>
      </c>
      <c r="J31" s="102"/>
    </row>
    <row r="32" spans="1:10" ht="15.75" x14ac:dyDescent="0.25">
      <c r="A32" s="94" t="s">
        <v>89</v>
      </c>
      <c r="B32" s="37" t="s">
        <v>223</v>
      </c>
      <c r="C32" s="56" t="s">
        <v>209</v>
      </c>
      <c r="D32" s="103"/>
      <c r="E32" s="76">
        <v>3</v>
      </c>
      <c r="F32" s="76"/>
      <c r="G32" s="104"/>
      <c r="H32" s="156"/>
      <c r="I32" s="371">
        <f>I31*E32%*0.8</f>
        <v>5.2363636363636354</v>
      </c>
      <c r="J32" s="102"/>
    </row>
    <row r="33" spans="1:10" ht="15.75" customHeight="1" x14ac:dyDescent="0.25">
      <c r="A33" s="306" t="s">
        <v>479</v>
      </c>
      <c r="B33" s="194" t="s">
        <v>226</v>
      </c>
      <c r="C33" s="277" t="s">
        <v>322</v>
      </c>
      <c r="D33" s="194"/>
      <c r="E33" s="194"/>
      <c r="F33" s="194"/>
      <c r="G33" s="315"/>
      <c r="H33" s="141"/>
      <c r="I33" s="142">
        <f>SUM(I34:I35)</f>
        <v>13.405090909090911</v>
      </c>
      <c r="J33" s="92"/>
    </row>
    <row r="34" spans="1:10" ht="15.75" x14ac:dyDescent="0.25">
      <c r="A34" s="94" t="s">
        <v>89</v>
      </c>
      <c r="B34" s="95" t="s">
        <v>324</v>
      </c>
      <c r="C34" s="56" t="s">
        <v>200</v>
      </c>
      <c r="D34" s="56">
        <v>0.4</v>
      </c>
      <c r="E34" s="154">
        <v>3.0000000000000001E-3</v>
      </c>
      <c r="F34" s="76">
        <f>VLOOKUP(B34,Table1[[TÊN VẬT TƯ]:[THỜI HẠN]],4,0)</f>
        <v>5</v>
      </c>
      <c r="G34" s="97">
        <f>VLOOKUP(B34,Table1[[TÊN VẬT TƯ]:[THỜI HẠN]],3,0)</f>
        <v>13636363.636363635</v>
      </c>
      <c r="H34" s="156">
        <f>G34/F34/500</f>
        <v>5454.545454545454</v>
      </c>
      <c r="I34" s="132">
        <f t="shared" ref="I34" si="7">H34*E34*0.8</f>
        <v>13.090909090909092</v>
      </c>
      <c r="J34" s="102"/>
    </row>
    <row r="35" spans="1:10" ht="15.75" x14ac:dyDescent="0.25">
      <c r="A35" s="94" t="s">
        <v>89</v>
      </c>
      <c r="B35" s="37" t="s">
        <v>223</v>
      </c>
      <c r="C35" s="56" t="s">
        <v>209</v>
      </c>
      <c r="D35" s="103"/>
      <c r="E35" s="76">
        <v>3</v>
      </c>
      <c r="F35" s="76"/>
      <c r="G35" s="104"/>
      <c r="H35" s="156"/>
      <c r="I35" s="371">
        <f>I34*E35%*0.8</f>
        <v>0.31418181818181823</v>
      </c>
      <c r="J35" s="102"/>
    </row>
    <row r="36" spans="1:10" s="36" customFormat="1" ht="15.75" customHeight="1" x14ac:dyDescent="0.25">
      <c r="A36" s="306" t="s">
        <v>480</v>
      </c>
      <c r="B36" s="194" t="s">
        <v>234</v>
      </c>
      <c r="C36" s="277" t="s">
        <v>323</v>
      </c>
      <c r="D36" s="194"/>
      <c r="E36" s="194"/>
      <c r="F36" s="194"/>
      <c r="G36" s="315"/>
      <c r="H36" s="141"/>
      <c r="I36" s="142">
        <f>SUM(I37:I38)</f>
        <v>58.088727272727262</v>
      </c>
      <c r="J36" s="92"/>
    </row>
    <row r="37" spans="1:10" ht="15.75" x14ac:dyDescent="0.25">
      <c r="A37" s="94" t="s">
        <v>89</v>
      </c>
      <c r="B37" s="95" t="s">
        <v>324</v>
      </c>
      <c r="C37" s="56" t="s">
        <v>200</v>
      </c>
      <c r="D37" s="56">
        <v>0.4</v>
      </c>
      <c r="E37" s="154">
        <v>1.2999999999999999E-2</v>
      </c>
      <c r="F37" s="76">
        <f>VLOOKUP(B37,Table1[[TÊN VẬT TƯ]:[THỜI HẠN]],4,0)</f>
        <v>5</v>
      </c>
      <c r="G37" s="97">
        <f>VLOOKUP(B37,Table1[[TÊN VẬT TƯ]:[THỜI HẠN]],3,0)</f>
        <v>13636363.636363635</v>
      </c>
      <c r="H37" s="156">
        <f>G37/F37/500</f>
        <v>5454.545454545454</v>
      </c>
      <c r="I37" s="132">
        <f t="shared" ref="I37" si="8">H37*E37*0.8</f>
        <v>56.72727272727272</v>
      </c>
      <c r="J37" s="102"/>
    </row>
    <row r="38" spans="1:10" ht="15.75" x14ac:dyDescent="0.25">
      <c r="A38" s="94" t="s">
        <v>89</v>
      </c>
      <c r="B38" s="37" t="s">
        <v>223</v>
      </c>
      <c r="C38" s="56" t="s">
        <v>209</v>
      </c>
      <c r="D38" s="103"/>
      <c r="E38" s="76">
        <v>3</v>
      </c>
      <c r="F38" s="76"/>
      <c r="G38" s="104"/>
      <c r="H38" s="156"/>
      <c r="I38" s="371">
        <f>I37*E38%*0.8</f>
        <v>1.3614545454545453</v>
      </c>
      <c r="J38" s="102"/>
    </row>
    <row r="39" spans="1:10" ht="15.75" customHeight="1" x14ac:dyDescent="0.25">
      <c r="A39" s="306" t="s">
        <v>481</v>
      </c>
      <c r="B39" s="194" t="s">
        <v>610</v>
      </c>
      <c r="C39" s="277" t="s">
        <v>322</v>
      </c>
      <c r="D39" s="194"/>
      <c r="E39" s="194"/>
      <c r="F39" s="194"/>
      <c r="G39" s="315"/>
      <c r="H39" s="316"/>
      <c r="I39" s="142">
        <f>SUM(I40:I41)</f>
        <v>13.405090909090911</v>
      </c>
      <c r="J39" s="92"/>
    </row>
    <row r="40" spans="1:10" ht="15.75" x14ac:dyDescent="0.25">
      <c r="A40" s="94" t="s">
        <v>89</v>
      </c>
      <c r="B40" s="95" t="s">
        <v>324</v>
      </c>
      <c r="C40" s="56" t="s">
        <v>200</v>
      </c>
      <c r="D40" s="56">
        <v>0.4</v>
      </c>
      <c r="E40" s="154">
        <v>3.0000000000000001E-3</v>
      </c>
      <c r="F40" s="76">
        <f>VLOOKUP(B40,Table1[[TÊN VẬT TƯ]:[THỜI HẠN]],4,0)</f>
        <v>5</v>
      </c>
      <c r="G40" s="97">
        <f>VLOOKUP(B40,Table1[[TÊN VẬT TƯ]:[THỜI HẠN]],3,0)</f>
        <v>13636363.636363635</v>
      </c>
      <c r="H40" s="156">
        <f>G40/F40/500</f>
        <v>5454.545454545454</v>
      </c>
      <c r="I40" s="132">
        <f t="shared" ref="I40" si="9">H40*E40*0.8</f>
        <v>13.090909090909092</v>
      </c>
      <c r="J40" s="102"/>
    </row>
    <row r="41" spans="1:10" ht="15.75" x14ac:dyDescent="0.25">
      <c r="A41" s="94" t="s">
        <v>89</v>
      </c>
      <c r="B41" s="37" t="s">
        <v>223</v>
      </c>
      <c r="C41" s="56" t="s">
        <v>209</v>
      </c>
      <c r="D41" s="103"/>
      <c r="E41" s="76">
        <v>3</v>
      </c>
      <c r="F41" s="76"/>
      <c r="G41" s="104"/>
      <c r="H41" s="156"/>
      <c r="I41" s="371">
        <f>I40*E41%*0.8</f>
        <v>0.31418181818181823</v>
      </c>
      <c r="J41" s="102"/>
    </row>
    <row r="42" spans="1:10" ht="15.75" customHeight="1" x14ac:dyDescent="0.25">
      <c r="A42" s="306" t="s">
        <v>482</v>
      </c>
      <c r="B42" s="194" t="s">
        <v>227</v>
      </c>
      <c r="C42" s="277" t="s">
        <v>323</v>
      </c>
      <c r="D42" s="194"/>
      <c r="E42" s="194"/>
      <c r="F42" s="194"/>
      <c r="G42" s="315"/>
      <c r="H42" s="316"/>
      <c r="I42" s="142">
        <f>SUM(I43:I44)</f>
        <v>58.088727272727262</v>
      </c>
      <c r="J42" s="92"/>
    </row>
    <row r="43" spans="1:10" ht="15.75" x14ac:dyDescent="0.25">
      <c r="A43" s="94" t="s">
        <v>89</v>
      </c>
      <c r="B43" s="95" t="s">
        <v>324</v>
      </c>
      <c r="C43" s="56" t="s">
        <v>200</v>
      </c>
      <c r="D43" s="56">
        <v>0.4</v>
      </c>
      <c r="E43" s="154">
        <v>1.2999999999999999E-2</v>
      </c>
      <c r="F43" s="76">
        <f>VLOOKUP(B43,Table1[[TÊN VẬT TƯ]:[THỜI HẠN]],4,0)</f>
        <v>5</v>
      </c>
      <c r="G43" s="97">
        <f>VLOOKUP(B43,Table1[[TÊN VẬT TƯ]:[THỜI HẠN]],3,0)</f>
        <v>13636363.636363635</v>
      </c>
      <c r="H43" s="156">
        <f>G43/F43/500</f>
        <v>5454.545454545454</v>
      </c>
      <c r="I43" s="132">
        <f t="shared" ref="I43" si="10">H43*E43*0.8</f>
        <v>56.72727272727272</v>
      </c>
      <c r="J43" s="102"/>
    </row>
    <row r="44" spans="1:10" ht="15.75" x14ac:dyDescent="0.25">
      <c r="A44" s="94" t="s">
        <v>89</v>
      </c>
      <c r="B44" s="37" t="s">
        <v>223</v>
      </c>
      <c r="C44" s="56" t="s">
        <v>209</v>
      </c>
      <c r="D44" s="103"/>
      <c r="E44" s="76">
        <v>3</v>
      </c>
      <c r="F44" s="76"/>
      <c r="G44" s="104"/>
      <c r="H44" s="156"/>
      <c r="I44" s="371">
        <f>I43*E44%*0.8</f>
        <v>1.3614545454545453</v>
      </c>
      <c r="J44" s="102"/>
    </row>
    <row r="45" spans="1:10" ht="15.75" x14ac:dyDescent="0.25">
      <c r="A45" s="204" t="s">
        <v>229</v>
      </c>
      <c r="B45" s="174" t="s">
        <v>414</v>
      </c>
      <c r="C45" s="173"/>
      <c r="D45" s="174"/>
      <c r="E45" s="174"/>
      <c r="F45" s="174"/>
      <c r="G45" s="175"/>
      <c r="H45" s="176"/>
      <c r="I45" s="178">
        <f>I46+I49+I52+I55+I58+I61+I64+I67</f>
        <v>775.30909090909086</v>
      </c>
      <c r="J45" s="314" t="s">
        <v>229</v>
      </c>
    </row>
    <row r="46" spans="1:10" ht="15.75" customHeight="1" x14ac:dyDescent="0.25">
      <c r="A46" s="306" t="s">
        <v>475</v>
      </c>
      <c r="B46" s="194" t="s">
        <v>224</v>
      </c>
      <c r="C46" s="277" t="s">
        <v>322</v>
      </c>
      <c r="D46" s="194"/>
      <c r="E46" s="194"/>
      <c r="F46" s="194"/>
      <c r="G46" s="315"/>
      <c r="H46" s="141"/>
      <c r="I46" s="142">
        <f>SUM(I47:I48)</f>
        <v>16.854545454545455</v>
      </c>
      <c r="J46" s="92"/>
    </row>
    <row r="47" spans="1:10" ht="15.75" x14ac:dyDescent="0.25">
      <c r="A47" s="94" t="s">
        <v>89</v>
      </c>
      <c r="B47" s="95" t="s">
        <v>324</v>
      </c>
      <c r="C47" s="56" t="s">
        <v>200</v>
      </c>
      <c r="D47" s="56">
        <v>0.4</v>
      </c>
      <c r="E47" s="154">
        <v>3.0000000000000001E-3</v>
      </c>
      <c r="F47" s="76">
        <f>VLOOKUP(B47,Table1[[TÊN VẬT TƯ]:[THỜI HẠN]],4,0)</f>
        <v>5</v>
      </c>
      <c r="G47" s="97">
        <f>VLOOKUP(B47,Table1[[TÊN VẬT TƯ]:[THỜI HẠN]],3,0)</f>
        <v>13636363.636363635</v>
      </c>
      <c r="H47" s="156">
        <f>G47/F47/500</f>
        <v>5454.545454545454</v>
      </c>
      <c r="I47" s="132">
        <f>H47*E47</f>
        <v>16.363636363636363</v>
      </c>
      <c r="J47" s="102"/>
    </row>
    <row r="48" spans="1:10" ht="15.75" x14ac:dyDescent="0.25">
      <c r="A48" s="94" t="s">
        <v>89</v>
      </c>
      <c r="B48" s="37" t="s">
        <v>223</v>
      </c>
      <c r="C48" s="56" t="s">
        <v>209</v>
      </c>
      <c r="D48" s="103"/>
      <c r="E48" s="76">
        <v>3</v>
      </c>
      <c r="F48" s="76"/>
      <c r="G48" s="104"/>
      <c r="H48" s="156"/>
      <c r="I48" s="371">
        <f>I47*E48%</f>
        <v>0.49090909090909091</v>
      </c>
      <c r="J48" s="102"/>
    </row>
    <row r="49" spans="1:10" ht="15.75" customHeight="1" x14ac:dyDescent="0.25">
      <c r="A49" s="306" t="s">
        <v>476</v>
      </c>
      <c r="B49" s="194" t="s">
        <v>232</v>
      </c>
      <c r="C49" s="277" t="s">
        <v>323</v>
      </c>
      <c r="D49" s="194"/>
      <c r="E49" s="194"/>
      <c r="F49" s="194"/>
      <c r="G49" s="315"/>
      <c r="H49" s="141"/>
      <c r="I49" s="142">
        <f>SUM(I50:I51)</f>
        <v>280.90909090909088</v>
      </c>
      <c r="J49" s="92"/>
    </row>
    <row r="50" spans="1:10" ht="15.75" x14ac:dyDescent="0.25">
      <c r="A50" s="94" t="s">
        <v>89</v>
      </c>
      <c r="B50" s="95" t="s">
        <v>324</v>
      </c>
      <c r="C50" s="56" t="s">
        <v>200</v>
      </c>
      <c r="D50" s="56">
        <v>0.4</v>
      </c>
      <c r="E50" s="154">
        <v>0.05</v>
      </c>
      <c r="F50" s="76">
        <f>VLOOKUP(B50,Table1[[TÊN VẬT TƯ]:[THỜI HẠN]],4,0)</f>
        <v>5</v>
      </c>
      <c r="G50" s="97">
        <f>VLOOKUP(B50,Table1[[TÊN VẬT TƯ]:[THỜI HẠN]],3,0)</f>
        <v>13636363.636363635</v>
      </c>
      <c r="H50" s="156">
        <f>G50/F50/500</f>
        <v>5454.545454545454</v>
      </c>
      <c r="I50" s="132">
        <f>H50*E50</f>
        <v>272.72727272727269</v>
      </c>
      <c r="J50" s="102"/>
    </row>
    <row r="51" spans="1:10" ht="15.75" x14ac:dyDescent="0.25">
      <c r="A51" s="94" t="s">
        <v>89</v>
      </c>
      <c r="B51" s="37" t="s">
        <v>223</v>
      </c>
      <c r="C51" s="56" t="s">
        <v>209</v>
      </c>
      <c r="D51" s="103"/>
      <c r="E51" s="76">
        <v>3</v>
      </c>
      <c r="F51" s="76"/>
      <c r="G51" s="104"/>
      <c r="H51" s="156"/>
      <c r="I51" s="371">
        <f>I50*E51%</f>
        <v>8.1818181818181799</v>
      </c>
      <c r="J51" s="102"/>
    </row>
    <row r="52" spans="1:10" ht="15.75" x14ac:dyDescent="0.25">
      <c r="A52" s="306" t="s">
        <v>477</v>
      </c>
      <c r="B52" s="194" t="s">
        <v>225</v>
      </c>
      <c r="C52" s="277" t="s">
        <v>322</v>
      </c>
      <c r="D52" s="194"/>
      <c r="E52" s="194"/>
      <c r="F52" s="194"/>
      <c r="G52" s="315"/>
      <c r="H52" s="141"/>
      <c r="I52" s="142">
        <f>SUM(I53:I54)</f>
        <v>16.854545454545455</v>
      </c>
      <c r="J52" s="92"/>
    </row>
    <row r="53" spans="1:10" ht="15.75" x14ac:dyDescent="0.25">
      <c r="A53" s="94" t="s">
        <v>89</v>
      </c>
      <c r="B53" s="95" t="s">
        <v>324</v>
      </c>
      <c r="C53" s="56" t="s">
        <v>200</v>
      </c>
      <c r="D53" s="56">
        <v>0.4</v>
      </c>
      <c r="E53" s="154">
        <v>3.0000000000000001E-3</v>
      </c>
      <c r="F53" s="76">
        <f>VLOOKUP(B53,Table1[[TÊN VẬT TƯ]:[THỜI HẠN]],4,0)</f>
        <v>5</v>
      </c>
      <c r="G53" s="97">
        <f>VLOOKUP(B53,Table1[[TÊN VẬT TƯ]:[THỜI HẠN]],3,0)</f>
        <v>13636363.636363635</v>
      </c>
      <c r="H53" s="156">
        <f>G53/F53/500</f>
        <v>5454.545454545454</v>
      </c>
      <c r="I53" s="132">
        <f>H53*E53</f>
        <v>16.363636363636363</v>
      </c>
      <c r="J53" s="102"/>
    </row>
    <row r="54" spans="1:10" ht="15.75" x14ac:dyDescent="0.25">
      <c r="A54" s="94" t="s">
        <v>89</v>
      </c>
      <c r="B54" s="37" t="s">
        <v>223</v>
      </c>
      <c r="C54" s="56" t="s">
        <v>209</v>
      </c>
      <c r="D54" s="103"/>
      <c r="E54" s="76">
        <v>3</v>
      </c>
      <c r="F54" s="76"/>
      <c r="G54" s="104"/>
      <c r="H54" s="156"/>
      <c r="I54" s="371">
        <f>I53*E54%</f>
        <v>0.49090909090909091</v>
      </c>
      <c r="J54" s="102"/>
    </row>
    <row r="55" spans="1:10" ht="15.75" x14ac:dyDescent="0.25">
      <c r="A55" s="306" t="s">
        <v>478</v>
      </c>
      <c r="B55" s="194" t="s">
        <v>233</v>
      </c>
      <c r="C55" s="277" t="s">
        <v>323</v>
      </c>
      <c r="D55" s="194"/>
      <c r="E55" s="194"/>
      <c r="F55" s="194"/>
      <c r="G55" s="315"/>
      <c r="H55" s="141"/>
      <c r="I55" s="142">
        <f>SUM(I56:I57)</f>
        <v>280.90909090909088</v>
      </c>
      <c r="J55" s="92"/>
    </row>
    <row r="56" spans="1:10" ht="15.75" x14ac:dyDescent="0.25">
      <c r="A56" s="94" t="s">
        <v>89</v>
      </c>
      <c r="B56" s="95" t="s">
        <v>324</v>
      </c>
      <c r="C56" s="56" t="s">
        <v>200</v>
      </c>
      <c r="D56" s="56">
        <v>0.4</v>
      </c>
      <c r="E56" s="154">
        <v>0.05</v>
      </c>
      <c r="F56" s="76">
        <f>VLOOKUP(B56,Table1[[TÊN VẬT TƯ]:[THỜI HẠN]],4,0)</f>
        <v>5</v>
      </c>
      <c r="G56" s="97">
        <f>VLOOKUP(B56,Table1[[TÊN VẬT TƯ]:[THỜI HẠN]],3,0)</f>
        <v>13636363.636363635</v>
      </c>
      <c r="H56" s="156">
        <f>G56/F56/500</f>
        <v>5454.545454545454</v>
      </c>
      <c r="I56" s="132">
        <f>H56*E56</f>
        <v>272.72727272727269</v>
      </c>
      <c r="J56" s="102"/>
    </row>
    <row r="57" spans="1:10" ht="15.75" x14ac:dyDescent="0.25">
      <c r="A57" s="94" t="s">
        <v>89</v>
      </c>
      <c r="B57" s="37" t="s">
        <v>223</v>
      </c>
      <c r="C57" s="56" t="s">
        <v>209</v>
      </c>
      <c r="D57" s="103"/>
      <c r="E57" s="76">
        <v>3</v>
      </c>
      <c r="F57" s="76"/>
      <c r="G57" s="104"/>
      <c r="H57" s="156"/>
      <c r="I57" s="371">
        <f>I56*E57%</f>
        <v>8.1818181818181799</v>
      </c>
      <c r="J57" s="102"/>
    </row>
    <row r="58" spans="1:10" ht="15.75" customHeight="1" x14ac:dyDescent="0.25">
      <c r="A58" s="306" t="s">
        <v>479</v>
      </c>
      <c r="B58" s="194" t="s">
        <v>226</v>
      </c>
      <c r="C58" s="277" t="s">
        <v>322</v>
      </c>
      <c r="D58" s="194"/>
      <c r="E58" s="194"/>
      <c r="F58" s="194"/>
      <c r="G58" s="315"/>
      <c r="H58" s="141"/>
      <c r="I58" s="142">
        <f>SUM(I59:I60)</f>
        <v>16.854545454545455</v>
      </c>
      <c r="J58" s="92"/>
    </row>
    <row r="59" spans="1:10" ht="15.75" x14ac:dyDescent="0.25">
      <c r="A59" s="94" t="s">
        <v>89</v>
      </c>
      <c r="B59" s="95" t="s">
        <v>324</v>
      </c>
      <c r="C59" s="56" t="s">
        <v>200</v>
      </c>
      <c r="D59" s="56">
        <v>0.4</v>
      </c>
      <c r="E59" s="154">
        <v>3.0000000000000001E-3</v>
      </c>
      <c r="F59" s="76">
        <f>VLOOKUP(B59,Table1[[TÊN VẬT TƯ]:[THỜI HẠN]],4,0)</f>
        <v>5</v>
      </c>
      <c r="G59" s="97">
        <f>VLOOKUP(B59,Table1[[TÊN VẬT TƯ]:[THỜI HẠN]],3,0)</f>
        <v>13636363.636363635</v>
      </c>
      <c r="H59" s="156">
        <f>G59/F59/500</f>
        <v>5454.545454545454</v>
      </c>
      <c r="I59" s="132">
        <f>H59*E59</f>
        <v>16.363636363636363</v>
      </c>
      <c r="J59" s="102"/>
    </row>
    <row r="60" spans="1:10" ht="15.75" x14ac:dyDescent="0.25">
      <c r="A60" s="94" t="s">
        <v>89</v>
      </c>
      <c r="B60" s="37" t="s">
        <v>223</v>
      </c>
      <c r="C60" s="56" t="s">
        <v>209</v>
      </c>
      <c r="D60" s="103"/>
      <c r="E60" s="76">
        <v>3</v>
      </c>
      <c r="F60" s="76"/>
      <c r="G60" s="104"/>
      <c r="H60" s="156"/>
      <c r="I60" s="371">
        <f>I59*E60%</f>
        <v>0.49090909090909091</v>
      </c>
      <c r="J60" s="102"/>
    </row>
    <row r="61" spans="1:10" ht="15.75" customHeight="1" x14ac:dyDescent="0.25">
      <c r="A61" s="306" t="s">
        <v>480</v>
      </c>
      <c r="B61" s="194" t="s">
        <v>234</v>
      </c>
      <c r="C61" s="277" t="s">
        <v>323</v>
      </c>
      <c r="D61" s="194"/>
      <c r="E61" s="194"/>
      <c r="F61" s="194"/>
      <c r="G61" s="315"/>
      <c r="H61" s="141"/>
      <c r="I61" s="142">
        <f>SUM(I62:I63)</f>
        <v>73.036363636363618</v>
      </c>
      <c r="J61" s="92"/>
    </row>
    <row r="62" spans="1:10" ht="15.75" x14ac:dyDescent="0.25">
      <c r="A62" s="94" t="s">
        <v>89</v>
      </c>
      <c r="B62" s="95" t="s">
        <v>324</v>
      </c>
      <c r="C62" s="56" t="s">
        <v>200</v>
      </c>
      <c r="D62" s="56">
        <v>0.4</v>
      </c>
      <c r="E62" s="154">
        <v>1.2999999999999999E-2</v>
      </c>
      <c r="F62" s="76">
        <f>VLOOKUP(B62,Table1[[TÊN VẬT TƯ]:[THỜI HẠN]],4,0)</f>
        <v>5</v>
      </c>
      <c r="G62" s="97">
        <f>VLOOKUP(B62,Table1[[TÊN VẬT TƯ]:[THỜI HẠN]],3,0)</f>
        <v>13636363.636363635</v>
      </c>
      <c r="H62" s="156">
        <f>G62/F62/500</f>
        <v>5454.545454545454</v>
      </c>
      <c r="I62" s="132">
        <f>H62*E62</f>
        <v>70.909090909090892</v>
      </c>
      <c r="J62" s="102"/>
    </row>
    <row r="63" spans="1:10" ht="15.75" x14ac:dyDescent="0.25">
      <c r="A63" s="94" t="s">
        <v>89</v>
      </c>
      <c r="B63" s="37" t="s">
        <v>223</v>
      </c>
      <c r="C63" s="56" t="s">
        <v>209</v>
      </c>
      <c r="D63" s="103"/>
      <c r="E63" s="76">
        <v>3</v>
      </c>
      <c r="F63" s="76"/>
      <c r="G63" s="104"/>
      <c r="H63" s="156"/>
      <c r="I63" s="371">
        <f>I62*E63%</f>
        <v>2.1272727272727265</v>
      </c>
      <c r="J63" s="102"/>
    </row>
    <row r="64" spans="1:10" ht="15.75" customHeight="1" x14ac:dyDescent="0.25">
      <c r="A64" s="306" t="s">
        <v>481</v>
      </c>
      <c r="B64" s="194" t="s">
        <v>610</v>
      </c>
      <c r="C64" s="277" t="s">
        <v>322</v>
      </c>
      <c r="D64" s="194"/>
      <c r="E64" s="194"/>
      <c r="F64" s="194"/>
      <c r="G64" s="315"/>
      <c r="H64" s="316"/>
      <c r="I64" s="142">
        <f>SUM(I65:I66)</f>
        <v>16.854545454545455</v>
      </c>
      <c r="J64" s="92"/>
    </row>
    <row r="65" spans="1:10" ht="15.75" x14ac:dyDescent="0.25">
      <c r="A65" s="94" t="s">
        <v>89</v>
      </c>
      <c r="B65" s="95" t="s">
        <v>324</v>
      </c>
      <c r="C65" s="56" t="s">
        <v>200</v>
      </c>
      <c r="D65" s="56">
        <v>0.4</v>
      </c>
      <c r="E65" s="154">
        <v>3.0000000000000001E-3</v>
      </c>
      <c r="F65" s="76">
        <f>VLOOKUP(B65,Table1[[TÊN VẬT TƯ]:[THỜI HẠN]],4,0)</f>
        <v>5</v>
      </c>
      <c r="G65" s="97">
        <f>VLOOKUP(B65,Table1[[TÊN VẬT TƯ]:[THỜI HẠN]],3,0)</f>
        <v>13636363.636363635</v>
      </c>
      <c r="H65" s="156">
        <f>G65/F65/500</f>
        <v>5454.545454545454</v>
      </c>
      <c r="I65" s="132">
        <f>H65*E65</f>
        <v>16.363636363636363</v>
      </c>
      <c r="J65" s="102"/>
    </row>
    <row r="66" spans="1:10" ht="15.75" x14ac:dyDescent="0.25">
      <c r="A66" s="94" t="s">
        <v>89</v>
      </c>
      <c r="B66" s="37" t="s">
        <v>223</v>
      </c>
      <c r="C66" s="56" t="s">
        <v>209</v>
      </c>
      <c r="D66" s="103"/>
      <c r="E66" s="76">
        <v>3</v>
      </c>
      <c r="F66" s="76"/>
      <c r="G66" s="104"/>
      <c r="H66" s="156"/>
      <c r="I66" s="371">
        <f>I65*E66%</f>
        <v>0.49090909090909091</v>
      </c>
      <c r="J66" s="102"/>
    </row>
    <row r="67" spans="1:10" ht="15.75" customHeight="1" x14ac:dyDescent="0.25">
      <c r="A67" s="306" t="s">
        <v>482</v>
      </c>
      <c r="B67" s="194" t="s">
        <v>227</v>
      </c>
      <c r="C67" s="277" t="s">
        <v>323</v>
      </c>
      <c r="D67" s="194"/>
      <c r="E67" s="194"/>
      <c r="F67" s="194"/>
      <c r="G67" s="315"/>
      <c r="H67" s="316"/>
      <c r="I67" s="142">
        <f>SUM(I68:I69)</f>
        <v>73.036363636363618</v>
      </c>
      <c r="J67" s="92"/>
    </row>
    <row r="68" spans="1:10" ht="15.75" x14ac:dyDescent="0.25">
      <c r="A68" s="94" t="s">
        <v>89</v>
      </c>
      <c r="B68" s="95" t="s">
        <v>324</v>
      </c>
      <c r="C68" s="56" t="s">
        <v>200</v>
      </c>
      <c r="D68" s="56">
        <v>0.4</v>
      </c>
      <c r="E68" s="154">
        <v>1.2999999999999999E-2</v>
      </c>
      <c r="F68" s="76">
        <f>VLOOKUP(B68,Table1[[TÊN VẬT TƯ]:[THỜI HẠN]],4,0)</f>
        <v>5</v>
      </c>
      <c r="G68" s="97">
        <f>VLOOKUP(B68,Table1[[TÊN VẬT TƯ]:[THỜI HẠN]],3,0)</f>
        <v>13636363.636363635</v>
      </c>
      <c r="H68" s="156">
        <f>G68/F68/500</f>
        <v>5454.545454545454</v>
      </c>
      <c r="I68" s="132">
        <f>H68*E68</f>
        <v>70.909090909090892</v>
      </c>
      <c r="J68" s="102"/>
    </row>
    <row r="69" spans="1:10" ht="15.75" x14ac:dyDescent="0.25">
      <c r="A69" s="94" t="s">
        <v>89</v>
      </c>
      <c r="B69" s="37" t="s">
        <v>223</v>
      </c>
      <c r="C69" s="56" t="s">
        <v>209</v>
      </c>
      <c r="D69" s="103"/>
      <c r="E69" s="76">
        <v>3</v>
      </c>
      <c r="F69" s="76"/>
      <c r="G69" s="104"/>
      <c r="H69" s="156"/>
      <c r="I69" s="371">
        <f>I68*E69%</f>
        <v>2.1272727272727265</v>
      </c>
      <c r="J69" s="102"/>
    </row>
    <row r="70" spans="1:10" ht="15.75" x14ac:dyDescent="0.25">
      <c r="A70" s="204" t="s">
        <v>230</v>
      </c>
      <c r="B70" s="170" t="s">
        <v>415</v>
      </c>
      <c r="C70" s="169"/>
      <c r="D70" s="170"/>
      <c r="E70" s="170"/>
      <c r="F70" s="170"/>
      <c r="G70" s="171"/>
      <c r="H70" s="172"/>
      <c r="I70" s="237">
        <f>I71+I74+I77+I80+I83+I86+I89+I92</f>
        <v>1016.7087272727271</v>
      </c>
      <c r="J70" s="317" t="s">
        <v>563</v>
      </c>
    </row>
    <row r="71" spans="1:10" ht="15.75" customHeight="1" x14ac:dyDescent="0.25">
      <c r="A71" s="306" t="s">
        <v>475</v>
      </c>
      <c r="B71" s="194" t="s">
        <v>224</v>
      </c>
      <c r="C71" s="277" t="s">
        <v>322</v>
      </c>
      <c r="D71" s="194"/>
      <c r="E71" s="194"/>
      <c r="F71" s="194"/>
      <c r="G71" s="315"/>
      <c r="H71" s="141"/>
      <c r="I71" s="142">
        <f>SUM(I72:I73)</f>
        <v>22.102363636363638</v>
      </c>
      <c r="J71" s="92"/>
    </row>
    <row r="72" spans="1:10" ht="15.75" x14ac:dyDescent="0.25">
      <c r="A72" s="94" t="s">
        <v>89</v>
      </c>
      <c r="B72" s="95" t="s">
        <v>324</v>
      </c>
      <c r="C72" s="56" t="s">
        <v>200</v>
      </c>
      <c r="D72" s="56">
        <v>0.4</v>
      </c>
      <c r="E72" s="154">
        <v>3.0000000000000001E-3</v>
      </c>
      <c r="F72" s="76">
        <f>VLOOKUP(B72,Table1[[TÊN VẬT TƯ]:[THỜI HẠN]],4,0)</f>
        <v>5</v>
      </c>
      <c r="G72" s="97">
        <f>VLOOKUP(B72,Table1[[TÊN VẬT TƯ]:[THỜI HẠN]],3,0)</f>
        <v>13636363.636363635</v>
      </c>
      <c r="H72" s="156">
        <f>G72/F72/500</f>
        <v>5454.545454545454</v>
      </c>
      <c r="I72" s="132">
        <f>H72*E72*1.3</f>
        <v>21.272727272727273</v>
      </c>
      <c r="J72" s="102"/>
    </row>
    <row r="73" spans="1:10" ht="15.75" x14ac:dyDescent="0.25">
      <c r="A73" s="94" t="s">
        <v>89</v>
      </c>
      <c r="B73" s="37" t="s">
        <v>223</v>
      </c>
      <c r="C73" s="56" t="s">
        <v>209</v>
      </c>
      <c r="D73" s="103"/>
      <c r="E73" s="76">
        <v>3</v>
      </c>
      <c r="F73" s="76"/>
      <c r="G73" s="104"/>
      <c r="H73" s="156"/>
      <c r="I73" s="371">
        <f>I72*E73%*1.3</f>
        <v>0.82963636363636362</v>
      </c>
      <c r="J73" s="102"/>
    </row>
    <row r="74" spans="1:10" ht="15.75" customHeight="1" x14ac:dyDescent="0.25">
      <c r="A74" s="306" t="s">
        <v>476</v>
      </c>
      <c r="B74" s="194" t="s">
        <v>232</v>
      </c>
      <c r="C74" s="277" t="s">
        <v>323</v>
      </c>
      <c r="D74" s="194"/>
      <c r="E74" s="194"/>
      <c r="F74" s="194"/>
      <c r="G74" s="315"/>
      <c r="H74" s="141"/>
      <c r="I74" s="142">
        <f>SUM(I75:I76)</f>
        <v>368.37272727272722</v>
      </c>
      <c r="J74" s="92"/>
    </row>
    <row r="75" spans="1:10" ht="15.75" x14ac:dyDescent="0.25">
      <c r="A75" s="94" t="s">
        <v>89</v>
      </c>
      <c r="B75" s="95" t="s">
        <v>324</v>
      </c>
      <c r="C75" s="56" t="s">
        <v>200</v>
      </c>
      <c r="D75" s="56">
        <v>0.4</v>
      </c>
      <c r="E75" s="154">
        <v>0.05</v>
      </c>
      <c r="F75" s="76">
        <f>VLOOKUP(B75,Table1[[TÊN VẬT TƯ]:[THỜI HẠN]],4,0)</f>
        <v>5</v>
      </c>
      <c r="G75" s="97">
        <f>VLOOKUP(B75,Table1[[TÊN VẬT TƯ]:[THỜI HẠN]],3,0)</f>
        <v>13636363.636363635</v>
      </c>
      <c r="H75" s="156">
        <f>G75/F75/500</f>
        <v>5454.545454545454</v>
      </c>
      <c r="I75" s="132">
        <f t="shared" ref="I75" si="11">H75*E75*1.3</f>
        <v>354.5454545454545</v>
      </c>
      <c r="J75" s="102"/>
    </row>
    <row r="76" spans="1:10" ht="15.75" x14ac:dyDescent="0.25">
      <c r="A76" s="94" t="s">
        <v>89</v>
      </c>
      <c r="B76" s="37" t="s">
        <v>223</v>
      </c>
      <c r="C76" s="56" t="s">
        <v>209</v>
      </c>
      <c r="D76" s="103"/>
      <c r="E76" s="76">
        <v>3</v>
      </c>
      <c r="F76" s="76"/>
      <c r="G76" s="104"/>
      <c r="H76" s="156"/>
      <c r="I76" s="371">
        <f>I75*E76%*1.3</f>
        <v>13.827272727272726</v>
      </c>
      <c r="J76" s="102"/>
    </row>
    <row r="77" spans="1:10" ht="15.75" x14ac:dyDescent="0.25">
      <c r="A77" s="306" t="s">
        <v>477</v>
      </c>
      <c r="B77" s="194" t="s">
        <v>225</v>
      </c>
      <c r="C77" s="277" t="s">
        <v>322</v>
      </c>
      <c r="D77" s="194"/>
      <c r="E77" s="194"/>
      <c r="F77" s="194"/>
      <c r="G77" s="315"/>
      <c r="H77" s="141"/>
      <c r="I77" s="142">
        <f>SUM(I78:I79)</f>
        <v>22.102363636363638</v>
      </c>
      <c r="J77" s="92"/>
    </row>
    <row r="78" spans="1:10" ht="15.75" x14ac:dyDescent="0.25">
      <c r="A78" s="94" t="s">
        <v>89</v>
      </c>
      <c r="B78" s="95" t="s">
        <v>324</v>
      </c>
      <c r="C78" s="56" t="s">
        <v>200</v>
      </c>
      <c r="D78" s="56">
        <v>0.4</v>
      </c>
      <c r="E78" s="154">
        <v>3.0000000000000001E-3</v>
      </c>
      <c r="F78" s="76">
        <f>VLOOKUP(B78,Table1[[TÊN VẬT TƯ]:[THỜI HẠN]],4,0)</f>
        <v>5</v>
      </c>
      <c r="G78" s="97">
        <f>VLOOKUP(B78,Table1[[TÊN VẬT TƯ]:[THỜI HẠN]],3,0)</f>
        <v>13636363.636363635</v>
      </c>
      <c r="H78" s="156">
        <f>G78/F78/500</f>
        <v>5454.545454545454</v>
      </c>
      <c r="I78" s="132">
        <f t="shared" ref="I78" si="12">H78*E78*1.3</f>
        <v>21.272727272727273</v>
      </c>
      <c r="J78" s="102"/>
    </row>
    <row r="79" spans="1:10" ht="15.75" x14ac:dyDescent="0.25">
      <c r="A79" s="94" t="s">
        <v>89</v>
      </c>
      <c r="B79" s="37" t="s">
        <v>223</v>
      </c>
      <c r="C79" s="56" t="s">
        <v>209</v>
      </c>
      <c r="D79" s="103"/>
      <c r="E79" s="76">
        <v>3</v>
      </c>
      <c r="F79" s="76"/>
      <c r="G79" s="104"/>
      <c r="H79" s="156"/>
      <c r="I79" s="371">
        <f>I78*E79%*1.3</f>
        <v>0.82963636363636362</v>
      </c>
      <c r="J79" s="102"/>
    </row>
    <row r="80" spans="1:10" ht="15.75" x14ac:dyDescent="0.25">
      <c r="A80" s="306" t="s">
        <v>478</v>
      </c>
      <c r="B80" s="194" t="s">
        <v>233</v>
      </c>
      <c r="C80" s="277" t="s">
        <v>323</v>
      </c>
      <c r="D80" s="194"/>
      <c r="E80" s="194"/>
      <c r="F80" s="194"/>
      <c r="G80" s="315"/>
      <c r="H80" s="141"/>
      <c r="I80" s="142">
        <f>SUM(I81:I82)</f>
        <v>368.37272727272722</v>
      </c>
      <c r="J80" s="92"/>
    </row>
    <row r="81" spans="1:10" ht="15.75" x14ac:dyDescent="0.25">
      <c r="A81" s="94" t="s">
        <v>89</v>
      </c>
      <c r="B81" s="95" t="s">
        <v>324</v>
      </c>
      <c r="C81" s="56" t="s">
        <v>200</v>
      </c>
      <c r="D81" s="56">
        <v>0.4</v>
      </c>
      <c r="E81" s="154">
        <v>0.05</v>
      </c>
      <c r="F81" s="76">
        <f>VLOOKUP(B81,Table1[[TÊN VẬT TƯ]:[THỜI HẠN]],4,0)</f>
        <v>5</v>
      </c>
      <c r="G81" s="97">
        <f>VLOOKUP(B81,Table1[[TÊN VẬT TƯ]:[THỜI HẠN]],3,0)</f>
        <v>13636363.636363635</v>
      </c>
      <c r="H81" s="156">
        <f>G81/F81/500</f>
        <v>5454.545454545454</v>
      </c>
      <c r="I81" s="132">
        <f t="shared" ref="I81" si="13">H81*E81*1.3</f>
        <v>354.5454545454545</v>
      </c>
      <c r="J81" s="102"/>
    </row>
    <row r="82" spans="1:10" ht="15.75" x14ac:dyDescent="0.25">
      <c r="A82" s="94" t="s">
        <v>89</v>
      </c>
      <c r="B82" s="37" t="s">
        <v>223</v>
      </c>
      <c r="C82" s="56" t="s">
        <v>209</v>
      </c>
      <c r="D82" s="103"/>
      <c r="E82" s="76">
        <v>3</v>
      </c>
      <c r="F82" s="76"/>
      <c r="G82" s="104"/>
      <c r="H82" s="156"/>
      <c r="I82" s="371">
        <f>I81*E82%*1.3</f>
        <v>13.827272727272726</v>
      </c>
      <c r="J82" s="102"/>
    </row>
    <row r="83" spans="1:10" ht="15.75" customHeight="1" x14ac:dyDescent="0.25">
      <c r="A83" s="306" t="s">
        <v>479</v>
      </c>
      <c r="B83" s="194" t="s">
        <v>226</v>
      </c>
      <c r="C83" s="277" t="s">
        <v>322</v>
      </c>
      <c r="D83" s="194"/>
      <c r="E83" s="194"/>
      <c r="F83" s="194"/>
      <c r="G83" s="315"/>
      <c r="H83" s="141"/>
      <c r="I83" s="142">
        <f>SUM(I84:I85)</f>
        <v>22.102363636363638</v>
      </c>
      <c r="J83" s="92"/>
    </row>
    <row r="84" spans="1:10" ht="15.75" x14ac:dyDescent="0.25">
      <c r="A84" s="94" t="s">
        <v>89</v>
      </c>
      <c r="B84" s="95" t="s">
        <v>324</v>
      </c>
      <c r="C84" s="56" t="s">
        <v>200</v>
      </c>
      <c r="D84" s="56">
        <v>0.4</v>
      </c>
      <c r="E84" s="154">
        <v>3.0000000000000001E-3</v>
      </c>
      <c r="F84" s="76">
        <f>VLOOKUP(B84,Table1[[TÊN VẬT TƯ]:[THỜI HẠN]],4,0)</f>
        <v>5</v>
      </c>
      <c r="G84" s="97">
        <f>VLOOKUP(B84,Table1[[TÊN VẬT TƯ]:[THỜI HẠN]],3,0)</f>
        <v>13636363.636363635</v>
      </c>
      <c r="H84" s="156">
        <f>G84/F84/500</f>
        <v>5454.545454545454</v>
      </c>
      <c r="I84" s="132">
        <f t="shared" ref="I84" si="14">H84*E84*1.3</f>
        <v>21.272727272727273</v>
      </c>
      <c r="J84" s="102"/>
    </row>
    <row r="85" spans="1:10" ht="15.75" x14ac:dyDescent="0.25">
      <c r="A85" s="94" t="s">
        <v>89</v>
      </c>
      <c r="B85" s="37" t="s">
        <v>223</v>
      </c>
      <c r="C85" s="56" t="s">
        <v>209</v>
      </c>
      <c r="D85" s="103"/>
      <c r="E85" s="76">
        <v>3</v>
      </c>
      <c r="F85" s="76"/>
      <c r="G85" s="104"/>
      <c r="H85" s="156"/>
      <c r="I85" s="371">
        <f>I84*E85%*1.3</f>
        <v>0.82963636363636362</v>
      </c>
      <c r="J85" s="102"/>
    </row>
    <row r="86" spans="1:10" ht="15.75" customHeight="1" x14ac:dyDescent="0.25">
      <c r="A86" s="306" t="s">
        <v>480</v>
      </c>
      <c r="B86" s="194" t="s">
        <v>234</v>
      </c>
      <c r="C86" s="277" t="s">
        <v>323</v>
      </c>
      <c r="D86" s="194"/>
      <c r="E86" s="194"/>
      <c r="F86" s="194"/>
      <c r="G86" s="315"/>
      <c r="H86" s="141"/>
      <c r="I86" s="142">
        <f>SUM(I87:I88)</f>
        <v>95.776909090909072</v>
      </c>
      <c r="J86" s="92"/>
    </row>
    <row r="87" spans="1:10" ht="15.75" x14ac:dyDescent="0.25">
      <c r="A87" s="94" t="s">
        <v>89</v>
      </c>
      <c r="B87" s="95" t="s">
        <v>324</v>
      </c>
      <c r="C87" s="56" t="s">
        <v>200</v>
      </c>
      <c r="D87" s="56">
        <v>0.4</v>
      </c>
      <c r="E87" s="154">
        <v>1.2999999999999999E-2</v>
      </c>
      <c r="F87" s="76">
        <f>VLOOKUP(B87,Table1[[TÊN VẬT TƯ]:[THỜI HẠN]],4,0)</f>
        <v>5</v>
      </c>
      <c r="G87" s="97">
        <f>VLOOKUP(B87,Table1[[TÊN VẬT TƯ]:[THỜI HẠN]],3,0)</f>
        <v>13636363.636363635</v>
      </c>
      <c r="H87" s="156">
        <f>G87/F87/500</f>
        <v>5454.545454545454</v>
      </c>
      <c r="I87" s="132">
        <f t="shared" ref="I87" si="15">H87*E87*1.3</f>
        <v>92.181818181818159</v>
      </c>
      <c r="J87" s="102"/>
    </row>
    <row r="88" spans="1:10" ht="15.75" x14ac:dyDescent="0.25">
      <c r="A88" s="94" t="s">
        <v>89</v>
      </c>
      <c r="B88" s="37" t="s">
        <v>223</v>
      </c>
      <c r="C88" s="56" t="s">
        <v>209</v>
      </c>
      <c r="D88" s="103"/>
      <c r="E88" s="76">
        <v>3</v>
      </c>
      <c r="F88" s="76"/>
      <c r="G88" s="104"/>
      <c r="H88" s="156"/>
      <c r="I88" s="371">
        <f>I87*E88%*1.3</f>
        <v>3.5950909090909082</v>
      </c>
      <c r="J88" s="102"/>
    </row>
    <row r="89" spans="1:10" ht="15.75" customHeight="1" x14ac:dyDescent="0.25">
      <c r="A89" s="306" t="s">
        <v>481</v>
      </c>
      <c r="B89" s="194" t="s">
        <v>610</v>
      </c>
      <c r="C89" s="277" t="s">
        <v>322</v>
      </c>
      <c r="D89" s="194"/>
      <c r="E89" s="194"/>
      <c r="F89" s="194"/>
      <c r="G89" s="315"/>
      <c r="H89" s="316"/>
      <c r="I89" s="142">
        <f>SUM(I90:I91)</f>
        <v>22.102363636363638</v>
      </c>
      <c r="J89" s="92"/>
    </row>
    <row r="90" spans="1:10" ht="15.75" x14ac:dyDescent="0.25">
      <c r="A90" s="94" t="s">
        <v>89</v>
      </c>
      <c r="B90" s="95" t="s">
        <v>324</v>
      </c>
      <c r="C90" s="56" t="s">
        <v>200</v>
      </c>
      <c r="D90" s="56">
        <v>0.4</v>
      </c>
      <c r="E90" s="154">
        <v>3.0000000000000001E-3</v>
      </c>
      <c r="F90" s="76">
        <f>VLOOKUP(B90,Table1[[TÊN VẬT TƯ]:[THỜI HẠN]],4,0)</f>
        <v>5</v>
      </c>
      <c r="G90" s="97">
        <f>VLOOKUP(B90,Table1[[TÊN VẬT TƯ]:[THỜI HẠN]],3,0)</f>
        <v>13636363.636363635</v>
      </c>
      <c r="H90" s="156">
        <f>G90/F90/500</f>
        <v>5454.545454545454</v>
      </c>
      <c r="I90" s="132">
        <f t="shared" ref="I90" si="16">H90*E90*1.3</f>
        <v>21.272727272727273</v>
      </c>
      <c r="J90" s="102"/>
    </row>
    <row r="91" spans="1:10" ht="15.75" x14ac:dyDescent="0.25">
      <c r="A91" s="94" t="s">
        <v>89</v>
      </c>
      <c r="B91" s="37" t="s">
        <v>223</v>
      </c>
      <c r="C91" s="56" t="s">
        <v>209</v>
      </c>
      <c r="D91" s="103"/>
      <c r="E91" s="76">
        <v>3</v>
      </c>
      <c r="F91" s="76"/>
      <c r="G91" s="104"/>
      <c r="H91" s="156"/>
      <c r="I91" s="371">
        <f>I90*E91%*1.3</f>
        <v>0.82963636363636362</v>
      </c>
      <c r="J91" s="102"/>
    </row>
    <row r="92" spans="1:10" ht="15.75" customHeight="1" x14ac:dyDescent="0.25">
      <c r="A92" s="306" t="s">
        <v>482</v>
      </c>
      <c r="B92" s="194" t="s">
        <v>227</v>
      </c>
      <c r="C92" s="277" t="s">
        <v>323</v>
      </c>
      <c r="D92" s="194"/>
      <c r="E92" s="194"/>
      <c r="F92" s="194"/>
      <c r="G92" s="315"/>
      <c r="H92" s="316"/>
      <c r="I92" s="142">
        <f>SUM(I93:I94)</f>
        <v>95.776909090909072</v>
      </c>
      <c r="J92" s="92"/>
    </row>
    <row r="93" spans="1:10" ht="15.75" x14ac:dyDescent="0.25">
      <c r="A93" s="94" t="s">
        <v>89</v>
      </c>
      <c r="B93" s="95" t="s">
        <v>324</v>
      </c>
      <c r="C93" s="56" t="s">
        <v>200</v>
      </c>
      <c r="D93" s="56">
        <v>0.4</v>
      </c>
      <c r="E93" s="154">
        <v>1.2999999999999999E-2</v>
      </c>
      <c r="F93" s="76">
        <f>VLOOKUP(B93,Table1[[TÊN VẬT TƯ]:[THỜI HẠN]],4,0)</f>
        <v>5</v>
      </c>
      <c r="G93" s="97">
        <f>VLOOKUP(B93,Table1[[TÊN VẬT TƯ]:[THỜI HẠN]],3,0)</f>
        <v>13636363.636363635</v>
      </c>
      <c r="H93" s="156">
        <f>G93/F93/500</f>
        <v>5454.545454545454</v>
      </c>
      <c r="I93" s="132">
        <f t="shared" ref="I93" si="17">H93*E93*1.3</f>
        <v>92.181818181818159</v>
      </c>
      <c r="J93" s="102"/>
    </row>
    <row r="94" spans="1:10" ht="15.75" x14ac:dyDescent="0.25">
      <c r="A94" s="105" t="s">
        <v>89</v>
      </c>
      <c r="B94" s="106" t="s">
        <v>223</v>
      </c>
      <c r="C94" s="107" t="s">
        <v>209</v>
      </c>
      <c r="D94" s="108"/>
      <c r="E94" s="109">
        <v>3</v>
      </c>
      <c r="F94" s="109"/>
      <c r="G94" s="110"/>
      <c r="H94" s="158"/>
      <c r="I94" s="371">
        <f>I93*E94%*1.3</f>
        <v>3.5950909090909082</v>
      </c>
      <c r="J94" s="111"/>
    </row>
    <row r="96" spans="1:10" ht="15.75" x14ac:dyDescent="0.25">
      <c r="B96" s="357" t="s">
        <v>598</v>
      </c>
    </row>
    <row r="97" spans="2:2" ht="15.75" x14ac:dyDescent="0.25">
      <c r="B97" s="358" t="s">
        <v>570</v>
      </c>
    </row>
    <row r="98" spans="2:2" ht="15.75" x14ac:dyDescent="0.25">
      <c r="B98" s="358" t="s">
        <v>571</v>
      </c>
    </row>
    <row r="99" spans="2:2" ht="15.75" x14ac:dyDescent="0.25">
      <c r="B99" s="358" t="s">
        <v>572</v>
      </c>
    </row>
    <row r="100" spans="2:2" ht="15.75" x14ac:dyDescent="0.25">
      <c r="B100" s="358" t="s">
        <v>573</v>
      </c>
    </row>
  </sheetData>
  <mergeCells count="4">
    <mergeCell ref="A1:J1"/>
    <mergeCell ref="A2:J2"/>
    <mergeCell ref="A3:J3"/>
    <mergeCell ref="A4:J4"/>
  </mergeCell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P77"/>
  <sheetViews>
    <sheetView zoomScale="90" zoomScaleNormal="90" workbookViewId="0">
      <pane ySplit="9" topLeftCell="A10" activePane="bottomLeft" state="frozen"/>
      <selection pane="bottomLeft" activeCell="A5" sqref="A5"/>
    </sheetView>
  </sheetViews>
  <sheetFormatPr defaultRowHeight="15" x14ac:dyDescent="0.25"/>
  <cols>
    <col min="1" max="1" width="8.140625" style="9" bestFit="1" customWidth="1"/>
    <col min="2" max="2" width="55.42578125" style="9" customWidth="1"/>
    <col min="3" max="3" width="25.28515625" style="11" customWidth="1"/>
    <col min="4" max="4" width="13.28515625" style="11" customWidth="1"/>
    <col min="5" max="5" width="19.85546875" style="9" bestFit="1" customWidth="1"/>
    <col min="6" max="6" width="16.28515625" style="9" customWidth="1"/>
    <col min="7" max="10" width="18.42578125" style="9" customWidth="1"/>
    <col min="11" max="11" width="15.28515625" style="9" customWidth="1"/>
    <col min="12" max="12" width="13.28515625" style="9" bestFit="1" customWidth="1"/>
    <col min="13" max="15" width="13.28515625" style="9" customWidth="1"/>
    <col min="16" max="16" width="13.28515625" style="9" bestFit="1" customWidth="1"/>
    <col min="17" max="16384" width="9.140625" style="9"/>
  </cols>
  <sheetData>
    <row r="1" spans="1:16" ht="15.75" x14ac:dyDescent="0.25">
      <c r="A1" s="442" t="s">
        <v>463</v>
      </c>
      <c r="B1" s="442"/>
      <c r="C1" s="442"/>
      <c r="D1" s="442"/>
      <c r="E1" s="442"/>
      <c r="F1" s="442"/>
      <c r="G1" s="442"/>
      <c r="H1" s="442"/>
      <c r="I1" s="442"/>
      <c r="J1" s="442"/>
      <c r="K1" s="442"/>
      <c r="L1" s="19"/>
      <c r="M1" s="19"/>
      <c r="N1" s="19"/>
      <c r="O1" s="19"/>
      <c r="P1" s="19"/>
    </row>
    <row r="2" spans="1:16" ht="15.75" x14ac:dyDescent="0.25">
      <c r="A2" s="443" t="s">
        <v>268</v>
      </c>
      <c r="B2" s="443"/>
      <c r="C2" s="443"/>
      <c r="D2" s="443"/>
      <c r="E2" s="443"/>
      <c r="F2" s="443"/>
      <c r="G2" s="443"/>
      <c r="H2" s="443"/>
      <c r="I2" s="443"/>
      <c r="J2" s="443"/>
      <c r="K2" s="443"/>
      <c r="L2" s="20"/>
      <c r="M2" s="20"/>
      <c r="N2" s="20"/>
      <c r="O2" s="20"/>
      <c r="P2" s="20"/>
    </row>
    <row r="3" spans="1:16" ht="15.75" x14ac:dyDescent="0.25">
      <c r="A3" s="443" t="s">
        <v>393</v>
      </c>
      <c r="B3" s="443"/>
      <c r="C3" s="443"/>
      <c r="D3" s="443"/>
      <c r="E3" s="443"/>
      <c r="F3" s="443"/>
      <c r="G3" s="443"/>
      <c r="H3" s="443"/>
      <c r="I3" s="443"/>
      <c r="J3" s="443"/>
      <c r="K3" s="443"/>
      <c r="L3" s="20"/>
      <c r="M3" s="20"/>
      <c r="N3" s="20"/>
      <c r="O3" s="20"/>
      <c r="P3" s="20"/>
    </row>
    <row r="4" spans="1:16" ht="15.75" x14ac:dyDescent="0.25">
      <c r="A4" s="444" t="s">
        <v>664</v>
      </c>
      <c r="B4" s="444"/>
      <c r="C4" s="444"/>
      <c r="D4" s="444"/>
      <c r="E4" s="444"/>
      <c r="F4" s="444"/>
      <c r="G4" s="444"/>
      <c r="H4" s="444"/>
      <c r="I4" s="444"/>
      <c r="J4" s="444"/>
      <c r="K4" s="444"/>
      <c r="L4" s="21"/>
      <c r="M4" s="21"/>
      <c r="N4" s="21"/>
      <c r="O4" s="21"/>
      <c r="P4" s="21"/>
    </row>
    <row r="6" spans="1:16" ht="15.75" x14ac:dyDescent="0.25">
      <c r="A6" s="38"/>
      <c r="B6" s="39"/>
      <c r="C6" s="38"/>
      <c r="D6" s="38"/>
      <c r="E6" s="38"/>
      <c r="F6" s="38"/>
      <c r="G6" s="38"/>
      <c r="H6" s="38"/>
      <c r="I6" s="38"/>
      <c r="J6" s="38"/>
      <c r="K6" s="145">
        <v>1490000</v>
      </c>
    </row>
    <row r="7" spans="1:16" ht="15.75" x14ac:dyDescent="0.25">
      <c r="A7" s="23" t="s">
        <v>235</v>
      </c>
      <c r="B7" s="39"/>
      <c r="C7" s="38"/>
      <c r="D7" s="38"/>
      <c r="E7" s="38"/>
      <c r="F7" s="38"/>
      <c r="G7" s="38"/>
      <c r="H7" s="38"/>
      <c r="I7" s="38"/>
      <c r="J7" s="38"/>
      <c r="K7" s="40" t="s">
        <v>1</v>
      </c>
    </row>
    <row r="8" spans="1:16" ht="31.5" x14ac:dyDescent="0.25">
      <c r="A8" s="118" t="s">
        <v>2</v>
      </c>
      <c r="B8" s="114" t="s">
        <v>395</v>
      </c>
      <c r="C8" s="119" t="s">
        <v>396</v>
      </c>
      <c r="D8" s="120" t="s">
        <v>394</v>
      </c>
      <c r="E8" s="120" t="s">
        <v>400</v>
      </c>
      <c r="F8" s="119" t="s">
        <v>376</v>
      </c>
      <c r="G8" s="114" t="s">
        <v>383</v>
      </c>
      <c r="H8" s="114" t="s">
        <v>388</v>
      </c>
      <c r="I8" s="114" t="s">
        <v>406</v>
      </c>
      <c r="J8" s="114" t="s">
        <v>111</v>
      </c>
      <c r="K8" s="121" t="s">
        <v>53</v>
      </c>
    </row>
    <row r="9" spans="1:16" ht="15.75" x14ac:dyDescent="0.25">
      <c r="A9" s="122"/>
      <c r="B9" s="17"/>
      <c r="C9" s="47"/>
      <c r="D9" s="123"/>
      <c r="E9" s="123"/>
      <c r="F9" s="127" t="s">
        <v>379</v>
      </c>
      <c r="G9" s="318">
        <v>0.23499999999999999</v>
      </c>
      <c r="H9" s="318" t="s">
        <v>385</v>
      </c>
      <c r="I9" s="318"/>
      <c r="J9" s="318"/>
      <c r="K9" s="124"/>
    </row>
    <row r="10" spans="1:16" ht="15.75" x14ac:dyDescent="0.25">
      <c r="A10" s="122" t="s">
        <v>11</v>
      </c>
      <c r="B10" s="17" t="s">
        <v>12</v>
      </c>
      <c r="C10" s="47" t="s">
        <v>13</v>
      </c>
      <c r="D10" s="123" t="s">
        <v>399</v>
      </c>
      <c r="E10" s="123" t="s">
        <v>405</v>
      </c>
      <c r="F10" s="47" t="s">
        <v>407</v>
      </c>
      <c r="G10" s="49" t="s">
        <v>409</v>
      </c>
      <c r="H10" s="49" t="s">
        <v>410</v>
      </c>
      <c r="I10" s="50">
        <v>5</v>
      </c>
      <c r="J10" s="49" t="s">
        <v>416</v>
      </c>
      <c r="K10" s="124"/>
    </row>
    <row r="11" spans="1:16" ht="15.75" x14ac:dyDescent="0.25">
      <c r="A11" s="146" t="s">
        <v>442</v>
      </c>
      <c r="B11" s="131" t="s">
        <v>441</v>
      </c>
      <c r="C11" s="47"/>
      <c r="D11" s="123"/>
      <c r="E11" s="123"/>
      <c r="F11" s="47"/>
      <c r="G11" s="49"/>
      <c r="H11" s="340"/>
      <c r="I11" s="341"/>
      <c r="J11" s="341"/>
      <c r="K11" s="124"/>
    </row>
    <row r="12" spans="1:16" ht="15.75" x14ac:dyDescent="0.25">
      <c r="A12" s="125" t="s">
        <v>449</v>
      </c>
      <c r="B12" s="126" t="s">
        <v>326</v>
      </c>
      <c r="C12" s="127" t="s">
        <v>451</v>
      </c>
      <c r="D12" s="128">
        <v>1</v>
      </c>
      <c r="E12" s="147">
        <f t="shared" ref="E12:E13" si="0">2.67*$K$6</f>
        <v>3978300</v>
      </c>
      <c r="F12" s="147">
        <f t="shared" ref="F12:F13" si="1">E12/26</f>
        <v>153011.53846153847</v>
      </c>
      <c r="G12" s="147">
        <f t="shared" ref="G12:G13" si="2">F12*23.5%</f>
        <v>35957.711538461539</v>
      </c>
      <c r="H12" s="147">
        <f t="shared" ref="H12:H13" si="3">F12+G12</f>
        <v>188969.25</v>
      </c>
      <c r="I12" s="342">
        <v>8.0000000000000002E-3</v>
      </c>
      <c r="J12" s="147">
        <f t="shared" ref="J12:J13" si="4">H12*I12</f>
        <v>1511.7540000000001</v>
      </c>
      <c r="K12" s="124"/>
    </row>
    <row r="13" spans="1:16" ht="15.75" x14ac:dyDescent="0.25">
      <c r="A13" s="125" t="s">
        <v>450</v>
      </c>
      <c r="B13" s="126" t="s">
        <v>448</v>
      </c>
      <c r="C13" s="127" t="s">
        <v>451</v>
      </c>
      <c r="D13" s="128">
        <v>1</v>
      </c>
      <c r="E13" s="147">
        <f t="shared" si="0"/>
        <v>3978300</v>
      </c>
      <c r="F13" s="147">
        <f t="shared" si="1"/>
        <v>153011.53846153847</v>
      </c>
      <c r="G13" s="147">
        <f t="shared" si="2"/>
        <v>35957.711538461539</v>
      </c>
      <c r="H13" s="147">
        <f t="shared" si="3"/>
        <v>188969.25</v>
      </c>
      <c r="I13" s="130">
        <v>2.5000000000000001E-3</v>
      </c>
      <c r="J13" s="147">
        <f t="shared" si="4"/>
        <v>472.42312500000003</v>
      </c>
      <c r="K13" s="124"/>
    </row>
    <row r="14" spans="1:16" ht="15.75" x14ac:dyDescent="0.25">
      <c r="A14" s="78" t="s">
        <v>114</v>
      </c>
      <c r="B14" s="55" t="s">
        <v>15</v>
      </c>
      <c r="C14" s="56"/>
      <c r="D14" s="56"/>
      <c r="E14" s="56"/>
      <c r="F14" s="56"/>
      <c r="G14" s="56"/>
      <c r="H14" s="56"/>
      <c r="I14" s="56"/>
      <c r="J14" s="56"/>
      <c r="K14" s="92"/>
    </row>
    <row r="15" spans="1:16" ht="15.75" x14ac:dyDescent="0.25">
      <c r="A15" s="77" t="s">
        <v>116</v>
      </c>
      <c r="B15" s="251" t="s">
        <v>17</v>
      </c>
      <c r="C15" s="75"/>
      <c r="D15" s="75"/>
      <c r="E15" s="191"/>
      <c r="F15" s="191"/>
      <c r="G15" s="191"/>
      <c r="H15" s="191"/>
      <c r="I15" s="191"/>
      <c r="J15" s="191"/>
      <c r="K15" s="319"/>
    </row>
    <row r="16" spans="1:16" ht="15.75" x14ac:dyDescent="0.25">
      <c r="A16" s="202" t="s">
        <v>228</v>
      </c>
      <c r="B16" s="278" t="s">
        <v>413</v>
      </c>
      <c r="C16" s="127"/>
      <c r="D16" s="127"/>
      <c r="E16" s="225"/>
      <c r="F16" s="225"/>
      <c r="G16" s="225"/>
      <c r="H16" s="225"/>
      <c r="I16" s="225"/>
      <c r="J16" s="225"/>
      <c r="K16" s="320"/>
    </row>
    <row r="17" spans="1:11" ht="15.75" x14ac:dyDescent="0.25">
      <c r="A17" s="79" t="s">
        <v>89</v>
      </c>
      <c r="B17" s="48" t="s">
        <v>224</v>
      </c>
      <c r="C17" s="56" t="s">
        <v>411</v>
      </c>
      <c r="D17" s="56">
        <v>1</v>
      </c>
      <c r="E17" s="147">
        <f t="shared" ref="E17:E24" si="5">2.67*$K$6</f>
        <v>3978300</v>
      </c>
      <c r="F17" s="147">
        <f>E17/26</f>
        <v>153011.53846153847</v>
      </c>
      <c r="G17" s="147">
        <f>F17*23.5%</f>
        <v>35957.711538461539</v>
      </c>
      <c r="H17" s="147">
        <f>F17+G17</f>
        <v>188969.25</v>
      </c>
      <c r="I17" s="130">
        <v>2.48E-3</v>
      </c>
      <c r="J17" s="147">
        <f>H17*I17</f>
        <v>468.64373999999998</v>
      </c>
      <c r="K17" s="149"/>
    </row>
    <row r="18" spans="1:11" ht="15.75" x14ac:dyDescent="0.25">
      <c r="A18" s="79" t="s">
        <v>89</v>
      </c>
      <c r="B18" s="48" t="s">
        <v>225</v>
      </c>
      <c r="C18" s="56" t="s">
        <v>411</v>
      </c>
      <c r="D18" s="56">
        <v>1</v>
      </c>
      <c r="E18" s="147">
        <f t="shared" si="5"/>
        <v>3978300</v>
      </c>
      <c r="F18" s="147">
        <f t="shared" ref="F18:F42" si="6">E18/26</f>
        <v>153011.53846153847</v>
      </c>
      <c r="G18" s="147">
        <f t="shared" ref="G18:G42" si="7">F18*23.5%</f>
        <v>35957.711538461539</v>
      </c>
      <c r="H18" s="147">
        <f t="shared" ref="H18:H24" si="8">F18+G18</f>
        <v>188969.25</v>
      </c>
      <c r="I18" s="130">
        <v>4.4000000000000003E-3</v>
      </c>
      <c r="J18" s="147">
        <f t="shared" ref="J18:J42" si="9">H18*I18</f>
        <v>831.46469999999999</v>
      </c>
      <c r="K18" s="149"/>
    </row>
    <row r="19" spans="1:11" ht="15.75" x14ac:dyDescent="0.25">
      <c r="A19" s="79" t="s">
        <v>89</v>
      </c>
      <c r="B19" s="48" t="s">
        <v>232</v>
      </c>
      <c r="C19" s="56" t="s">
        <v>412</v>
      </c>
      <c r="D19" s="56">
        <v>1</v>
      </c>
      <c r="E19" s="147">
        <f t="shared" si="5"/>
        <v>3978300</v>
      </c>
      <c r="F19" s="147">
        <f t="shared" si="6"/>
        <v>153011.53846153847</v>
      </c>
      <c r="G19" s="147">
        <f t="shared" si="7"/>
        <v>35957.711538461539</v>
      </c>
      <c r="H19" s="147">
        <f t="shared" si="8"/>
        <v>188969.25</v>
      </c>
      <c r="I19" s="130">
        <v>4.5359999999999998E-2</v>
      </c>
      <c r="J19" s="147">
        <f t="shared" si="9"/>
        <v>8571.6451799999995</v>
      </c>
      <c r="K19" s="149"/>
    </row>
    <row r="20" spans="1:11" ht="15.75" x14ac:dyDescent="0.25">
      <c r="A20" s="79" t="s">
        <v>89</v>
      </c>
      <c r="B20" s="48" t="s">
        <v>233</v>
      </c>
      <c r="C20" s="56" t="s">
        <v>412</v>
      </c>
      <c r="D20" s="56">
        <v>1</v>
      </c>
      <c r="E20" s="147">
        <f t="shared" si="5"/>
        <v>3978300</v>
      </c>
      <c r="F20" s="147">
        <f t="shared" si="6"/>
        <v>153011.53846153847</v>
      </c>
      <c r="G20" s="147">
        <f t="shared" si="7"/>
        <v>35957.711538461539</v>
      </c>
      <c r="H20" s="147">
        <f t="shared" si="8"/>
        <v>188969.25</v>
      </c>
      <c r="I20" s="130">
        <v>5.3600000000000002E-2</v>
      </c>
      <c r="J20" s="147">
        <f t="shared" si="9"/>
        <v>10128.7518</v>
      </c>
      <c r="K20" s="149"/>
    </row>
    <row r="21" spans="1:11" ht="31.5" x14ac:dyDescent="0.25">
      <c r="A21" s="79" t="s">
        <v>89</v>
      </c>
      <c r="B21" s="48" t="s">
        <v>226</v>
      </c>
      <c r="C21" s="56" t="s">
        <v>411</v>
      </c>
      <c r="D21" s="56">
        <v>1</v>
      </c>
      <c r="E21" s="147">
        <f t="shared" si="5"/>
        <v>3978300</v>
      </c>
      <c r="F21" s="147">
        <f t="shared" si="6"/>
        <v>153011.53846153847</v>
      </c>
      <c r="G21" s="147">
        <f t="shared" si="7"/>
        <v>35957.711538461539</v>
      </c>
      <c r="H21" s="147">
        <f t="shared" si="8"/>
        <v>188969.25</v>
      </c>
      <c r="I21" s="130">
        <v>7.2000000000000005E-4</v>
      </c>
      <c r="J21" s="147">
        <f t="shared" si="9"/>
        <v>136.05786000000001</v>
      </c>
      <c r="K21" s="149"/>
    </row>
    <row r="22" spans="1:11" ht="31.5" x14ac:dyDescent="0.25">
      <c r="A22" s="79" t="s">
        <v>89</v>
      </c>
      <c r="B22" s="48" t="s">
        <v>612</v>
      </c>
      <c r="C22" s="56" t="s">
        <v>411</v>
      </c>
      <c r="D22" s="56">
        <v>1</v>
      </c>
      <c r="E22" s="147">
        <f t="shared" si="5"/>
        <v>3978300</v>
      </c>
      <c r="F22" s="147">
        <f t="shared" si="6"/>
        <v>153011.53846153847</v>
      </c>
      <c r="G22" s="147">
        <f t="shared" si="7"/>
        <v>35957.711538461539</v>
      </c>
      <c r="H22" s="147">
        <f t="shared" si="8"/>
        <v>188969.25</v>
      </c>
      <c r="I22" s="130">
        <v>1.1999999999999999E-3</v>
      </c>
      <c r="J22" s="147">
        <f t="shared" si="9"/>
        <v>226.76309999999998</v>
      </c>
      <c r="K22" s="149"/>
    </row>
    <row r="23" spans="1:11" ht="31.5" x14ac:dyDescent="0.25">
      <c r="A23" s="79" t="s">
        <v>89</v>
      </c>
      <c r="B23" s="48" t="s">
        <v>234</v>
      </c>
      <c r="C23" s="56" t="s">
        <v>412</v>
      </c>
      <c r="D23" s="56">
        <v>1</v>
      </c>
      <c r="E23" s="147">
        <f t="shared" si="5"/>
        <v>3978300</v>
      </c>
      <c r="F23" s="147">
        <f t="shared" si="6"/>
        <v>153011.53846153847</v>
      </c>
      <c r="G23" s="147">
        <f t="shared" si="7"/>
        <v>35957.711538461539</v>
      </c>
      <c r="H23" s="147">
        <f t="shared" si="8"/>
        <v>188969.25</v>
      </c>
      <c r="I23" s="130">
        <v>1.1440000000000001E-2</v>
      </c>
      <c r="J23" s="147">
        <f t="shared" si="9"/>
        <v>2161.8082199999999</v>
      </c>
      <c r="K23" s="149"/>
    </row>
    <row r="24" spans="1:11" ht="31.5" x14ac:dyDescent="0.25">
      <c r="A24" s="79" t="s">
        <v>89</v>
      </c>
      <c r="B24" s="48" t="s">
        <v>227</v>
      </c>
      <c r="C24" s="56" t="s">
        <v>412</v>
      </c>
      <c r="D24" s="56">
        <v>1</v>
      </c>
      <c r="E24" s="147">
        <f t="shared" si="5"/>
        <v>3978300</v>
      </c>
      <c r="F24" s="147">
        <f t="shared" si="6"/>
        <v>153011.53846153847</v>
      </c>
      <c r="G24" s="147">
        <f t="shared" si="7"/>
        <v>35957.711538461539</v>
      </c>
      <c r="H24" s="147">
        <f t="shared" si="8"/>
        <v>188969.25</v>
      </c>
      <c r="I24" s="130">
        <v>1.3599999999999999E-2</v>
      </c>
      <c r="J24" s="147">
        <f t="shared" si="9"/>
        <v>2569.9818</v>
      </c>
      <c r="K24" s="149"/>
    </row>
    <row r="25" spans="1:11" ht="15.75" x14ac:dyDescent="0.25">
      <c r="A25" s="202" t="s">
        <v>229</v>
      </c>
      <c r="B25" s="278" t="s">
        <v>414</v>
      </c>
      <c r="C25" s="127"/>
      <c r="D25" s="127"/>
      <c r="E25" s="225"/>
      <c r="F25" s="225"/>
      <c r="G25" s="225"/>
      <c r="H25" s="225"/>
      <c r="I25" s="225"/>
      <c r="J25" s="321"/>
      <c r="K25" s="320"/>
    </row>
    <row r="26" spans="1:11" ht="15.75" x14ac:dyDescent="0.25">
      <c r="A26" s="79" t="s">
        <v>89</v>
      </c>
      <c r="B26" s="48" t="s">
        <v>224</v>
      </c>
      <c r="C26" s="56" t="s">
        <v>411</v>
      </c>
      <c r="D26" s="56">
        <v>1</v>
      </c>
      <c r="E26" s="147">
        <f t="shared" ref="E26:E42" si="10">2.67*$K$6</f>
        <v>3978300</v>
      </c>
      <c r="F26" s="147">
        <f t="shared" si="6"/>
        <v>153011.53846153847</v>
      </c>
      <c r="G26" s="147">
        <f t="shared" si="7"/>
        <v>35957.711538461539</v>
      </c>
      <c r="H26" s="147">
        <f t="shared" ref="H26:H42" si="11">F26+G26</f>
        <v>188969.25</v>
      </c>
      <c r="I26" s="130">
        <v>3.0999999999999999E-3</v>
      </c>
      <c r="J26" s="147">
        <f t="shared" si="9"/>
        <v>585.80467499999997</v>
      </c>
      <c r="K26" s="149"/>
    </row>
    <row r="27" spans="1:11" ht="15.75" x14ac:dyDescent="0.25">
      <c r="A27" s="79" t="s">
        <v>89</v>
      </c>
      <c r="B27" s="48" t="s">
        <v>225</v>
      </c>
      <c r="C27" s="56" t="s">
        <v>411</v>
      </c>
      <c r="D27" s="56">
        <v>1</v>
      </c>
      <c r="E27" s="147">
        <f t="shared" si="10"/>
        <v>3978300</v>
      </c>
      <c r="F27" s="147">
        <f t="shared" si="6"/>
        <v>153011.53846153847</v>
      </c>
      <c r="G27" s="147">
        <f t="shared" si="7"/>
        <v>35957.711538461539</v>
      </c>
      <c r="H27" s="147">
        <f t="shared" si="11"/>
        <v>188969.25</v>
      </c>
      <c r="I27" s="130">
        <v>5.4999999999999997E-3</v>
      </c>
      <c r="J27" s="147">
        <f t="shared" si="9"/>
        <v>1039.3308749999999</v>
      </c>
      <c r="K27" s="149"/>
    </row>
    <row r="28" spans="1:11" ht="15.75" x14ac:dyDescent="0.25">
      <c r="A28" s="79" t="s">
        <v>89</v>
      </c>
      <c r="B28" s="48" t="s">
        <v>232</v>
      </c>
      <c r="C28" s="56" t="s">
        <v>412</v>
      </c>
      <c r="D28" s="56">
        <v>1</v>
      </c>
      <c r="E28" s="147">
        <f t="shared" si="10"/>
        <v>3978300</v>
      </c>
      <c r="F28" s="147">
        <f t="shared" si="6"/>
        <v>153011.53846153847</v>
      </c>
      <c r="G28" s="147">
        <f t="shared" si="7"/>
        <v>35957.711538461539</v>
      </c>
      <c r="H28" s="147">
        <f t="shared" si="11"/>
        <v>188969.25</v>
      </c>
      <c r="I28" s="130">
        <v>5.67E-2</v>
      </c>
      <c r="J28" s="147">
        <f t="shared" si="9"/>
        <v>10714.556474999999</v>
      </c>
      <c r="K28" s="149"/>
    </row>
    <row r="29" spans="1:11" ht="15.75" x14ac:dyDescent="0.25">
      <c r="A29" s="79" t="s">
        <v>89</v>
      </c>
      <c r="B29" s="48" t="s">
        <v>233</v>
      </c>
      <c r="C29" s="56" t="s">
        <v>412</v>
      </c>
      <c r="D29" s="56">
        <v>1</v>
      </c>
      <c r="E29" s="147">
        <f t="shared" si="10"/>
        <v>3978300</v>
      </c>
      <c r="F29" s="147">
        <f t="shared" si="6"/>
        <v>153011.53846153847</v>
      </c>
      <c r="G29" s="147">
        <f t="shared" si="7"/>
        <v>35957.711538461539</v>
      </c>
      <c r="H29" s="147">
        <f t="shared" si="11"/>
        <v>188969.25</v>
      </c>
      <c r="I29" s="130">
        <v>6.7000000000000004E-2</v>
      </c>
      <c r="J29" s="147">
        <f t="shared" si="9"/>
        <v>12660.939750000001</v>
      </c>
      <c r="K29" s="149"/>
    </row>
    <row r="30" spans="1:11" ht="31.5" x14ac:dyDescent="0.25">
      <c r="A30" s="79" t="s">
        <v>89</v>
      </c>
      <c r="B30" s="48" t="s">
        <v>226</v>
      </c>
      <c r="C30" s="56" t="s">
        <v>411</v>
      </c>
      <c r="D30" s="56">
        <v>1</v>
      </c>
      <c r="E30" s="147">
        <f t="shared" si="10"/>
        <v>3978300</v>
      </c>
      <c r="F30" s="147">
        <f t="shared" si="6"/>
        <v>153011.53846153847</v>
      </c>
      <c r="G30" s="147">
        <f t="shared" si="7"/>
        <v>35957.711538461539</v>
      </c>
      <c r="H30" s="147">
        <f t="shared" si="11"/>
        <v>188969.25</v>
      </c>
      <c r="I30" s="130">
        <v>8.9999999999999998E-4</v>
      </c>
      <c r="J30" s="147">
        <f t="shared" si="9"/>
        <v>170.07232500000001</v>
      </c>
      <c r="K30" s="149"/>
    </row>
    <row r="31" spans="1:11" ht="31.5" x14ac:dyDescent="0.25">
      <c r="A31" s="79" t="s">
        <v>89</v>
      </c>
      <c r="B31" s="48" t="s">
        <v>613</v>
      </c>
      <c r="C31" s="56" t="s">
        <v>411</v>
      </c>
      <c r="D31" s="56">
        <v>1</v>
      </c>
      <c r="E31" s="147">
        <f t="shared" si="10"/>
        <v>3978300</v>
      </c>
      <c r="F31" s="147">
        <f t="shared" si="6"/>
        <v>153011.53846153847</v>
      </c>
      <c r="G31" s="147">
        <f t="shared" si="7"/>
        <v>35957.711538461539</v>
      </c>
      <c r="H31" s="147">
        <f t="shared" si="11"/>
        <v>188969.25</v>
      </c>
      <c r="I31" s="130">
        <v>1.5E-3</v>
      </c>
      <c r="J31" s="147">
        <f t="shared" si="9"/>
        <v>283.45387499999998</v>
      </c>
      <c r="K31" s="149"/>
    </row>
    <row r="32" spans="1:11" ht="31.5" x14ac:dyDescent="0.25">
      <c r="A32" s="79" t="s">
        <v>89</v>
      </c>
      <c r="B32" s="48" t="s">
        <v>234</v>
      </c>
      <c r="C32" s="56" t="s">
        <v>412</v>
      </c>
      <c r="D32" s="56">
        <v>1</v>
      </c>
      <c r="E32" s="147">
        <f t="shared" si="10"/>
        <v>3978300</v>
      </c>
      <c r="F32" s="147">
        <f t="shared" si="6"/>
        <v>153011.53846153847</v>
      </c>
      <c r="G32" s="147">
        <f t="shared" si="7"/>
        <v>35957.711538461539</v>
      </c>
      <c r="H32" s="147">
        <f t="shared" si="11"/>
        <v>188969.25</v>
      </c>
      <c r="I32" s="130">
        <v>1.43E-2</v>
      </c>
      <c r="J32" s="147">
        <f t="shared" si="9"/>
        <v>2702.2602750000001</v>
      </c>
      <c r="K32" s="149"/>
    </row>
    <row r="33" spans="1:11" ht="31.5" x14ac:dyDescent="0.25">
      <c r="A33" s="79" t="s">
        <v>89</v>
      </c>
      <c r="B33" s="48" t="s">
        <v>227</v>
      </c>
      <c r="C33" s="56" t="s">
        <v>412</v>
      </c>
      <c r="D33" s="56">
        <v>1</v>
      </c>
      <c r="E33" s="147">
        <f t="shared" si="10"/>
        <v>3978300</v>
      </c>
      <c r="F33" s="147">
        <f t="shared" si="6"/>
        <v>153011.53846153847</v>
      </c>
      <c r="G33" s="147">
        <f t="shared" si="7"/>
        <v>35957.711538461539</v>
      </c>
      <c r="H33" s="147">
        <f t="shared" si="11"/>
        <v>188969.25</v>
      </c>
      <c r="I33" s="130">
        <v>1.7000000000000001E-2</v>
      </c>
      <c r="J33" s="147">
        <f t="shared" si="9"/>
        <v>3212.4772500000004</v>
      </c>
      <c r="K33" s="149"/>
    </row>
    <row r="34" spans="1:11" ht="15.75" x14ac:dyDescent="0.25">
      <c r="A34" s="202" t="s">
        <v>230</v>
      </c>
      <c r="B34" s="278" t="s">
        <v>415</v>
      </c>
      <c r="C34" s="127"/>
      <c r="D34" s="127"/>
      <c r="E34" s="321"/>
      <c r="F34" s="321"/>
      <c r="G34" s="321"/>
      <c r="H34" s="321"/>
      <c r="I34" s="225"/>
      <c r="J34" s="321"/>
      <c r="K34" s="320"/>
    </row>
    <row r="35" spans="1:11" ht="15.75" x14ac:dyDescent="0.25">
      <c r="A35" s="79" t="s">
        <v>89</v>
      </c>
      <c r="B35" s="48" t="s">
        <v>224</v>
      </c>
      <c r="C35" s="56" t="s">
        <v>411</v>
      </c>
      <c r="D35" s="56">
        <v>1</v>
      </c>
      <c r="E35" s="147">
        <f t="shared" si="10"/>
        <v>3978300</v>
      </c>
      <c r="F35" s="147">
        <f t="shared" si="6"/>
        <v>153011.53846153847</v>
      </c>
      <c r="G35" s="147">
        <f t="shared" si="7"/>
        <v>35957.711538461539</v>
      </c>
      <c r="H35" s="147">
        <f t="shared" si="11"/>
        <v>188969.25</v>
      </c>
      <c r="I35" s="130">
        <v>4.0299999999999997E-3</v>
      </c>
      <c r="J35" s="147">
        <f t="shared" si="9"/>
        <v>761.54607749999991</v>
      </c>
      <c r="K35" s="149"/>
    </row>
    <row r="36" spans="1:11" ht="15.75" x14ac:dyDescent="0.25">
      <c r="A36" s="79" t="s">
        <v>89</v>
      </c>
      <c r="B36" s="48" t="s">
        <v>225</v>
      </c>
      <c r="C36" s="56" t="s">
        <v>411</v>
      </c>
      <c r="D36" s="56">
        <v>1</v>
      </c>
      <c r="E36" s="147">
        <f t="shared" si="10"/>
        <v>3978300</v>
      </c>
      <c r="F36" s="147">
        <f t="shared" si="6"/>
        <v>153011.53846153847</v>
      </c>
      <c r="G36" s="147">
        <f t="shared" si="7"/>
        <v>35957.711538461539</v>
      </c>
      <c r="H36" s="147">
        <f t="shared" si="11"/>
        <v>188969.25</v>
      </c>
      <c r="I36" s="130">
        <v>7.1500000000000001E-3</v>
      </c>
      <c r="J36" s="147">
        <f t="shared" si="9"/>
        <v>1351.1301375</v>
      </c>
      <c r="K36" s="149"/>
    </row>
    <row r="37" spans="1:11" ht="15.75" x14ac:dyDescent="0.25">
      <c r="A37" s="79" t="s">
        <v>89</v>
      </c>
      <c r="B37" s="48" t="s">
        <v>232</v>
      </c>
      <c r="C37" s="56" t="s">
        <v>412</v>
      </c>
      <c r="D37" s="56">
        <v>1</v>
      </c>
      <c r="E37" s="147">
        <f t="shared" si="10"/>
        <v>3978300</v>
      </c>
      <c r="F37" s="147">
        <f t="shared" si="6"/>
        <v>153011.53846153847</v>
      </c>
      <c r="G37" s="147">
        <f t="shared" si="7"/>
        <v>35957.711538461539</v>
      </c>
      <c r="H37" s="147">
        <f t="shared" si="11"/>
        <v>188969.25</v>
      </c>
      <c r="I37" s="130">
        <v>7.3709999999999998E-2</v>
      </c>
      <c r="J37" s="147">
        <f t="shared" si="9"/>
        <v>13928.9234175</v>
      </c>
      <c r="K37" s="149"/>
    </row>
    <row r="38" spans="1:11" ht="15.75" x14ac:dyDescent="0.25">
      <c r="A38" s="79" t="s">
        <v>89</v>
      </c>
      <c r="B38" s="48" t="s">
        <v>233</v>
      </c>
      <c r="C38" s="56" t="s">
        <v>412</v>
      </c>
      <c r="D38" s="56">
        <v>1</v>
      </c>
      <c r="E38" s="147">
        <f t="shared" si="10"/>
        <v>3978300</v>
      </c>
      <c r="F38" s="147">
        <f t="shared" si="6"/>
        <v>153011.53846153847</v>
      </c>
      <c r="G38" s="147">
        <f t="shared" si="7"/>
        <v>35957.711538461539</v>
      </c>
      <c r="H38" s="147">
        <f t="shared" si="11"/>
        <v>188969.25</v>
      </c>
      <c r="I38" s="130">
        <v>8.7099999999999997E-2</v>
      </c>
      <c r="J38" s="147">
        <f t="shared" si="9"/>
        <v>16459.221675000001</v>
      </c>
      <c r="K38" s="149"/>
    </row>
    <row r="39" spans="1:11" ht="31.5" x14ac:dyDescent="0.25">
      <c r="A39" s="79" t="s">
        <v>89</v>
      </c>
      <c r="B39" s="48" t="s">
        <v>226</v>
      </c>
      <c r="C39" s="56" t="s">
        <v>411</v>
      </c>
      <c r="D39" s="56">
        <v>1</v>
      </c>
      <c r="E39" s="147">
        <f t="shared" si="10"/>
        <v>3978300</v>
      </c>
      <c r="F39" s="147">
        <f t="shared" si="6"/>
        <v>153011.53846153847</v>
      </c>
      <c r="G39" s="147">
        <f t="shared" si="7"/>
        <v>35957.711538461539</v>
      </c>
      <c r="H39" s="147">
        <f t="shared" si="11"/>
        <v>188969.25</v>
      </c>
      <c r="I39" s="130">
        <v>1.17E-3</v>
      </c>
      <c r="J39" s="147">
        <f t="shared" si="9"/>
        <v>221.09402249999999</v>
      </c>
      <c r="K39" s="149"/>
    </row>
    <row r="40" spans="1:11" ht="31.5" x14ac:dyDescent="0.25">
      <c r="A40" s="79" t="s">
        <v>89</v>
      </c>
      <c r="B40" s="48" t="s">
        <v>612</v>
      </c>
      <c r="C40" s="56" t="s">
        <v>411</v>
      </c>
      <c r="D40" s="56">
        <v>1</v>
      </c>
      <c r="E40" s="147">
        <f t="shared" si="10"/>
        <v>3978300</v>
      </c>
      <c r="F40" s="147">
        <f t="shared" si="6"/>
        <v>153011.53846153847</v>
      </c>
      <c r="G40" s="147">
        <f t="shared" si="7"/>
        <v>35957.711538461539</v>
      </c>
      <c r="H40" s="147">
        <f t="shared" si="11"/>
        <v>188969.25</v>
      </c>
      <c r="I40" s="130">
        <v>1.9499999999999999E-3</v>
      </c>
      <c r="J40" s="147">
        <f t="shared" si="9"/>
        <v>368.49003749999997</v>
      </c>
      <c r="K40" s="149"/>
    </row>
    <row r="41" spans="1:11" ht="31.5" x14ac:dyDescent="0.25">
      <c r="A41" s="79" t="s">
        <v>89</v>
      </c>
      <c r="B41" s="48" t="s">
        <v>234</v>
      </c>
      <c r="C41" s="56" t="s">
        <v>412</v>
      </c>
      <c r="D41" s="56">
        <v>1</v>
      </c>
      <c r="E41" s="147">
        <f t="shared" si="10"/>
        <v>3978300</v>
      </c>
      <c r="F41" s="147">
        <f t="shared" si="6"/>
        <v>153011.53846153847</v>
      </c>
      <c r="G41" s="147">
        <f t="shared" si="7"/>
        <v>35957.711538461539</v>
      </c>
      <c r="H41" s="147">
        <f t="shared" si="11"/>
        <v>188969.25</v>
      </c>
      <c r="I41" s="130">
        <v>1.8589999999999999E-2</v>
      </c>
      <c r="J41" s="147">
        <f t="shared" si="9"/>
        <v>3512.9383574999997</v>
      </c>
      <c r="K41" s="149"/>
    </row>
    <row r="42" spans="1:11" ht="31.5" x14ac:dyDescent="0.25">
      <c r="A42" s="79" t="s">
        <v>89</v>
      </c>
      <c r="B42" s="48" t="s">
        <v>227</v>
      </c>
      <c r="C42" s="56" t="s">
        <v>412</v>
      </c>
      <c r="D42" s="56">
        <v>1</v>
      </c>
      <c r="E42" s="147">
        <f t="shared" si="10"/>
        <v>3978300</v>
      </c>
      <c r="F42" s="147">
        <f t="shared" si="6"/>
        <v>153011.53846153847</v>
      </c>
      <c r="G42" s="147">
        <f t="shared" si="7"/>
        <v>35957.711538461539</v>
      </c>
      <c r="H42" s="147">
        <f t="shared" si="11"/>
        <v>188969.25</v>
      </c>
      <c r="I42" s="130">
        <v>2.2100000000000002E-2</v>
      </c>
      <c r="J42" s="147">
        <f t="shared" si="9"/>
        <v>4176.2204250000004</v>
      </c>
      <c r="K42" s="149"/>
    </row>
    <row r="43" spans="1:11" s="144" customFormat="1" ht="15.75" x14ac:dyDescent="0.25">
      <c r="A43" s="77" t="s">
        <v>117</v>
      </c>
      <c r="B43" s="251" t="s">
        <v>18</v>
      </c>
      <c r="C43" s="75"/>
      <c r="D43" s="75"/>
      <c r="E43" s="191"/>
      <c r="F43" s="191"/>
      <c r="G43" s="191"/>
      <c r="H43" s="191"/>
      <c r="I43" s="191"/>
      <c r="J43" s="191"/>
      <c r="K43" s="319"/>
    </row>
    <row r="44" spans="1:11" ht="15.75" x14ac:dyDescent="0.25">
      <c r="A44" s="202" t="s">
        <v>228</v>
      </c>
      <c r="B44" s="278" t="s">
        <v>413</v>
      </c>
      <c r="C44" s="127"/>
      <c r="D44" s="127"/>
      <c r="E44" s="225"/>
      <c r="F44" s="225"/>
      <c r="G44" s="225"/>
      <c r="H44" s="225"/>
      <c r="I44" s="225"/>
      <c r="J44" s="225"/>
      <c r="K44" s="320"/>
    </row>
    <row r="45" spans="1:11" ht="15.75" x14ac:dyDescent="0.25">
      <c r="A45" s="79" t="s">
        <v>89</v>
      </c>
      <c r="B45" s="48" t="s">
        <v>224</v>
      </c>
      <c r="C45" s="56" t="s">
        <v>411</v>
      </c>
      <c r="D45" s="56">
        <v>1</v>
      </c>
      <c r="E45" s="147">
        <f t="shared" ref="E45:E52" si="12">2.67*$K$6</f>
        <v>3978300</v>
      </c>
      <c r="F45" s="147">
        <f>E45/26</f>
        <v>153011.53846153847</v>
      </c>
      <c r="G45" s="147">
        <f>F45*23.5%</f>
        <v>35957.711538461539</v>
      </c>
      <c r="H45" s="147">
        <f>F45+G45</f>
        <v>188969.25</v>
      </c>
      <c r="I45" s="130">
        <v>2.48E-3</v>
      </c>
      <c r="J45" s="147">
        <f>H45*I45</f>
        <v>468.64373999999998</v>
      </c>
      <c r="K45" s="149"/>
    </row>
    <row r="46" spans="1:11" ht="15.75" x14ac:dyDescent="0.25">
      <c r="A46" s="79" t="s">
        <v>89</v>
      </c>
      <c r="B46" s="48" t="s">
        <v>225</v>
      </c>
      <c r="C46" s="56" t="s">
        <v>411</v>
      </c>
      <c r="D46" s="56">
        <v>1</v>
      </c>
      <c r="E46" s="147">
        <f t="shared" si="12"/>
        <v>3978300</v>
      </c>
      <c r="F46" s="147">
        <f t="shared" ref="F46:F70" si="13">E46/26</f>
        <v>153011.53846153847</v>
      </c>
      <c r="G46" s="147">
        <f t="shared" ref="G46:G70" si="14">F46*23.5%</f>
        <v>35957.711538461539</v>
      </c>
      <c r="H46" s="147">
        <f t="shared" ref="H46:H52" si="15">F46+G46</f>
        <v>188969.25</v>
      </c>
      <c r="I46" s="130">
        <v>4.4000000000000003E-3</v>
      </c>
      <c r="J46" s="147">
        <f t="shared" ref="J46:J52" si="16">H46*I46</f>
        <v>831.46469999999999</v>
      </c>
      <c r="K46" s="149"/>
    </row>
    <row r="47" spans="1:11" ht="15.75" x14ac:dyDescent="0.25">
      <c r="A47" s="79" t="s">
        <v>89</v>
      </c>
      <c r="B47" s="48" t="s">
        <v>232</v>
      </c>
      <c r="C47" s="56" t="s">
        <v>412</v>
      </c>
      <c r="D47" s="56">
        <v>1</v>
      </c>
      <c r="E47" s="147">
        <f t="shared" si="12"/>
        <v>3978300</v>
      </c>
      <c r="F47" s="147">
        <f t="shared" si="13"/>
        <v>153011.53846153847</v>
      </c>
      <c r="G47" s="147">
        <f t="shared" si="14"/>
        <v>35957.711538461539</v>
      </c>
      <c r="H47" s="147">
        <f t="shared" si="15"/>
        <v>188969.25</v>
      </c>
      <c r="I47" s="130">
        <v>4.5359999999999998E-2</v>
      </c>
      <c r="J47" s="147">
        <f t="shared" si="16"/>
        <v>8571.6451799999995</v>
      </c>
      <c r="K47" s="149"/>
    </row>
    <row r="48" spans="1:11" ht="15.75" x14ac:dyDescent="0.25">
      <c r="A48" s="79" t="s">
        <v>89</v>
      </c>
      <c r="B48" s="48" t="s">
        <v>233</v>
      </c>
      <c r="C48" s="56" t="s">
        <v>412</v>
      </c>
      <c r="D48" s="56">
        <v>1</v>
      </c>
      <c r="E48" s="147">
        <f t="shared" si="12"/>
        <v>3978300</v>
      </c>
      <c r="F48" s="147">
        <f t="shared" si="13"/>
        <v>153011.53846153847</v>
      </c>
      <c r="G48" s="147">
        <f t="shared" si="14"/>
        <v>35957.711538461539</v>
      </c>
      <c r="H48" s="147">
        <f t="shared" si="15"/>
        <v>188969.25</v>
      </c>
      <c r="I48" s="130">
        <v>5.3600000000000002E-2</v>
      </c>
      <c r="J48" s="147">
        <f t="shared" si="16"/>
        <v>10128.7518</v>
      </c>
      <c r="K48" s="149"/>
    </row>
    <row r="49" spans="1:11" ht="31.5" x14ac:dyDescent="0.25">
      <c r="A49" s="79" t="s">
        <v>89</v>
      </c>
      <c r="B49" s="48" t="s">
        <v>226</v>
      </c>
      <c r="C49" s="56" t="s">
        <v>411</v>
      </c>
      <c r="D49" s="56">
        <v>1</v>
      </c>
      <c r="E49" s="147">
        <f t="shared" si="12"/>
        <v>3978300</v>
      </c>
      <c r="F49" s="147">
        <f t="shared" si="13"/>
        <v>153011.53846153847</v>
      </c>
      <c r="G49" s="147">
        <f t="shared" si="14"/>
        <v>35957.711538461539</v>
      </c>
      <c r="H49" s="147">
        <f t="shared" si="15"/>
        <v>188969.25</v>
      </c>
      <c r="I49" s="130">
        <v>7.2000000000000005E-4</v>
      </c>
      <c r="J49" s="147">
        <f t="shared" si="16"/>
        <v>136.05786000000001</v>
      </c>
      <c r="K49" s="149"/>
    </row>
    <row r="50" spans="1:11" ht="31.5" x14ac:dyDescent="0.25">
      <c r="A50" s="79" t="s">
        <v>89</v>
      </c>
      <c r="B50" s="48" t="s">
        <v>612</v>
      </c>
      <c r="C50" s="56" t="s">
        <v>411</v>
      </c>
      <c r="D50" s="56">
        <v>1</v>
      </c>
      <c r="E50" s="147">
        <f t="shared" si="12"/>
        <v>3978300</v>
      </c>
      <c r="F50" s="147">
        <f t="shared" si="13"/>
        <v>153011.53846153847</v>
      </c>
      <c r="G50" s="147">
        <f t="shared" si="14"/>
        <v>35957.711538461539</v>
      </c>
      <c r="H50" s="147">
        <f t="shared" si="15"/>
        <v>188969.25</v>
      </c>
      <c r="I50" s="130">
        <v>1.1999999999999999E-3</v>
      </c>
      <c r="J50" s="147">
        <f t="shared" si="16"/>
        <v>226.76309999999998</v>
      </c>
      <c r="K50" s="149"/>
    </row>
    <row r="51" spans="1:11" ht="31.5" x14ac:dyDescent="0.25">
      <c r="A51" s="79" t="s">
        <v>89</v>
      </c>
      <c r="B51" s="48" t="s">
        <v>234</v>
      </c>
      <c r="C51" s="56" t="s">
        <v>412</v>
      </c>
      <c r="D51" s="56">
        <v>1</v>
      </c>
      <c r="E51" s="147">
        <f t="shared" si="12"/>
        <v>3978300</v>
      </c>
      <c r="F51" s="147">
        <f t="shared" si="13"/>
        <v>153011.53846153847</v>
      </c>
      <c r="G51" s="147">
        <f t="shared" si="14"/>
        <v>35957.711538461539</v>
      </c>
      <c r="H51" s="147">
        <f t="shared" si="15"/>
        <v>188969.25</v>
      </c>
      <c r="I51" s="130">
        <v>1.1440000000000001E-2</v>
      </c>
      <c r="J51" s="147">
        <f t="shared" si="16"/>
        <v>2161.8082199999999</v>
      </c>
      <c r="K51" s="149"/>
    </row>
    <row r="52" spans="1:11" ht="31.5" x14ac:dyDescent="0.25">
      <c r="A52" s="79" t="s">
        <v>89</v>
      </c>
      <c r="B52" s="48" t="s">
        <v>227</v>
      </c>
      <c r="C52" s="56" t="s">
        <v>412</v>
      </c>
      <c r="D52" s="56">
        <v>1</v>
      </c>
      <c r="E52" s="147">
        <f t="shared" si="12"/>
        <v>3978300</v>
      </c>
      <c r="F52" s="147">
        <f t="shared" si="13"/>
        <v>153011.53846153847</v>
      </c>
      <c r="G52" s="147">
        <f t="shared" si="14"/>
        <v>35957.711538461539</v>
      </c>
      <c r="H52" s="147">
        <f t="shared" si="15"/>
        <v>188969.25</v>
      </c>
      <c r="I52" s="130">
        <v>1.3599999999999999E-2</v>
      </c>
      <c r="J52" s="147">
        <f t="shared" si="16"/>
        <v>2569.9818</v>
      </c>
      <c r="K52" s="149"/>
    </row>
    <row r="53" spans="1:11" ht="15.75" x14ac:dyDescent="0.25">
      <c r="A53" s="202" t="s">
        <v>229</v>
      </c>
      <c r="B53" s="278" t="s">
        <v>414</v>
      </c>
      <c r="C53" s="127"/>
      <c r="D53" s="127"/>
      <c r="E53" s="225"/>
      <c r="F53" s="225"/>
      <c r="G53" s="225"/>
      <c r="H53" s="225"/>
      <c r="I53" s="225"/>
      <c r="J53" s="321"/>
      <c r="K53" s="320"/>
    </row>
    <row r="54" spans="1:11" ht="15.75" x14ac:dyDescent="0.25">
      <c r="A54" s="79" t="s">
        <v>89</v>
      </c>
      <c r="B54" s="48" t="s">
        <v>224</v>
      </c>
      <c r="C54" s="56" t="s">
        <v>411</v>
      </c>
      <c r="D54" s="56">
        <v>1</v>
      </c>
      <c r="E54" s="147">
        <f t="shared" ref="E54:E70" si="17">2.67*$K$6</f>
        <v>3978300</v>
      </c>
      <c r="F54" s="147">
        <f t="shared" si="13"/>
        <v>153011.53846153847</v>
      </c>
      <c r="G54" s="147">
        <f t="shared" si="14"/>
        <v>35957.711538461539</v>
      </c>
      <c r="H54" s="147">
        <f t="shared" ref="H54:H61" si="18">F54+G54</f>
        <v>188969.25</v>
      </c>
      <c r="I54" s="130">
        <v>3.0999999999999999E-3</v>
      </c>
      <c r="J54" s="147">
        <f t="shared" ref="J54:J61" si="19">H54*I54</f>
        <v>585.80467499999997</v>
      </c>
      <c r="K54" s="149"/>
    </row>
    <row r="55" spans="1:11" ht="15.75" x14ac:dyDescent="0.25">
      <c r="A55" s="79" t="s">
        <v>89</v>
      </c>
      <c r="B55" s="48" t="s">
        <v>225</v>
      </c>
      <c r="C55" s="56" t="s">
        <v>411</v>
      </c>
      <c r="D55" s="56">
        <v>1</v>
      </c>
      <c r="E55" s="147">
        <f t="shared" si="17"/>
        <v>3978300</v>
      </c>
      <c r="F55" s="147">
        <f t="shared" si="13"/>
        <v>153011.53846153847</v>
      </c>
      <c r="G55" s="147">
        <f t="shared" si="14"/>
        <v>35957.711538461539</v>
      </c>
      <c r="H55" s="147">
        <f t="shared" si="18"/>
        <v>188969.25</v>
      </c>
      <c r="I55" s="130">
        <v>5.4999999999999997E-3</v>
      </c>
      <c r="J55" s="147">
        <f t="shared" si="19"/>
        <v>1039.3308749999999</v>
      </c>
      <c r="K55" s="149"/>
    </row>
    <row r="56" spans="1:11" ht="15.75" x14ac:dyDescent="0.25">
      <c r="A56" s="79" t="s">
        <v>89</v>
      </c>
      <c r="B56" s="48" t="s">
        <v>232</v>
      </c>
      <c r="C56" s="56" t="s">
        <v>412</v>
      </c>
      <c r="D56" s="56">
        <v>1</v>
      </c>
      <c r="E56" s="147">
        <f t="shared" si="17"/>
        <v>3978300</v>
      </c>
      <c r="F56" s="147">
        <f t="shared" si="13"/>
        <v>153011.53846153847</v>
      </c>
      <c r="G56" s="147">
        <f t="shared" si="14"/>
        <v>35957.711538461539</v>
      </c>
      <c r="H56" s="147">
        <f t="shared" si="18"/>
        <v>188969.25</v>
      </c>
      <c r="I56" s="130">
        <v>5.67E-2</v>
      </c>
      <c r="J56" s="147">
        <f t="shared" si="19"/>
        <v>10714.556474999999</v>
      </c>
      <c r="K56" s="149"/>
    </row>
    <row r="57" spans="1:11" ht="15.75" x14ac:dyDescent="0.25">
      <c r="A57" s="79" t="s">
        <v>89</v>
      </c>
      <c r="B57" s="48" t="s">
        <v>233</v>
      </c>
      <c r="C57" s="56" t="s">
        <v>412</v>
      </c>
      <c r="D57" s="56">
        <v>1</v>
      </c>
      <c r="E57" s="147">
        <f t="shared" si="17"/>
        <v>3978300</v>
      </c>
      <c r="F57" s="147">
        <f t="shared" si="13"/>
        <v>153011.53846153847</v>
      </c>
      <c r="G57" s="147">
        <f t="shared" si="14"/>
        <v>35957.711538461539</v>
      </c>
      <c r="H57" s="147">
        <f t="shared" si="18"/>
        <v>188969.25</v>
      </c>
      <c r="I57" s="130">
        <v>6.7000000000000004E-2</v>
      </c>
      <c r="J57" s="147">
        <f t="shared" si="19"/>
        <v>12660.939750000001</v>
      </c>
      <c r="K57" s="149"/>
    </row>
    <row r="58" spans="1:11" ht="31.5" x14ac:dyDescent="0.25">
      <c r="A58" s="79" t="s">
        <v>89</v>
      </c>
      <c r="B58" s="48" t="s">
        <v>226</v>
      </c>
      <c r="C58" s="56" t="s">
        <v>411</v>
      </c>
      <c r="D58" s="56">
        <v>1</v>
      </c>
      <c r="E58" s="147">
        <f t="shared" si="17"/>
        <v>3978300</v>
      </c>
      <c r="F58" s="147">
        <f t="shared" si="13"/>
        <v>153011.53846153847</v>
      </c>
      <c r="G58" s="147">
        <f t="shared" si="14"/>
        <v>35957.711538461539</v>
      </c>
      <c r="H58" s="147">
        <f t="shared" si="18"/>
        <v>188969.25</v>
      </c>
      <c r="I58" s="130">
        <v>8.9999999999999998E-4</v>
      </c>
      <c r="J58" s="147">
        <f t="shared" si="19"/>
        <v>170.07232500000001</v>
      </c>
      <c r="K58" s="149"/>
    </row>
    <row r="59" spans="1:11" ht="31.5" x14ac:dyDescent="0.25">
      <c r="A59" s="79" t="s">
        <v>89</v>
      </c>
      <c r="B59" s="48" t="s">
        <v>612</v>
      </c>
      <c r="C59" s="56" t="s">
        <v>411</v>
      </c>
      <c r="D59" s="56">
        <v>1</v>
      </c>
      <c r="E59" s="147">
        <f t="shared" si="17"/>
        <v>3978300</v>
      </c>
      <c r="F59" s="147">
        <f t="shared" si="13"/>
        <v>153011.53846153847</v>
      </c>
      <c r="G59" s="147">
        <f t="shared" si="14"/>
        <v>35957.711538461539</v>
      </c>
      <c r="H59" s="147">
        <f t="shared" si="18"/>
        <v>188969.25</v>
      </c>
      <c r="I59" s="130">
        <v>1.5E-3</v>
      </c>
      <c r="J59" s="147">
        <f t="shared" si="19"/>
        <v>283.45387499999998</v>
      </c>
      <c r="K59" s="149"/>
    </row>
    <row r="60" spans="1:11" ht="31.5" x14ac:dyDescent="0.25">
      <c r="A60" s="79" t="s">
        <v>89</v>
      </c>
      <c r="B60" s="48" t="s">
        <v>227</v>
      </c>
      <c r="C60" s="56" t="s">
        <v>412</v>
      </c>
      <c r="D60" s="56">
        <v>1</v>
      </c>
      <c r="E60" s="147">
        <f t="shared" si="17"/>
        <v>3978300</v>
      </c>
      <c r="F60" s="147">
        <f t="shared" si="13"/>
        <v>153011.53846153847</v>
      </c>
      <c r="G60" s="147">
        <f t="shared" si="14"/>
        <v>35957.711538461539</v>
      </c>
      <c r="H60" s="147">
        <f t="shared" si="18"/>
        <v>188969.25</v>
      </c>
      <c r="I60" s="130">
        <v>1.43E-2</v>
      </c>
      <c r="J60" s="147">
        <f t="shared" si="19"/>
        <v>2702.2602750000001</v>
      </c>
      <c r="K60" s="149"/>
    </row>
    <row r="61" spans="1:11" ht="31.5" x14ac:dyDescent="0.25">
      <c r="A61" s="79" t="s">
        <v>89</v>
      </c>
      <c r="B61" s="48" t="s">
        <v>227</v>
      </c>
      <c r="C61" s="56" t="s">
        <v>412</v>
      </c>
      <c r="D61" s="56">
        <v>1</v>
      </c>
      <c r="E61" s="147">
        <f t="shared" si="17"/>
        <v>3978300</v>
      </c>
      <c r="F61" s="147">
        <f t="shared" si="13"/>
        <v>153011.53846153847</v>
      </c>
      <c r="G61" s="147">
        <f t="shared" si="14"/>
        <v>35957.711538461539</v>
      </c>
      <c r="H61" s="147">
        <f t="shared" si="18"/>
        <v>188969.25</v>
      </c>
      <c r="I61" s="130">
        <v>1.7000000000000001E-2</v>
      </c>
      <c r="J61" s="147">
        <f t="shared" si="19"/>
        <v>3212.4772500000004</v>
      </c>
      <c r="K61" s="149"/>
    </row>
    <row r="62" spans="1:11" ht="15.75" x14ac:dyDescent="0.25">
      <c r="A62" s="202" t="s">
        <v>230</v>
      </c>
      <c r="B62" s="278" t="s">
        <v>415</v>
      </c>
      <c r="C62" s="127"/>
      <c r="D62" s="127"/>
      <c r="E62" s="321"/>
      <c r="F62" s="321"/>
      <c r="G62" s="321"/>
      <c r="H62" s="321"/>
      <c r="I62" s="225"/>
      <c r="J62" s="321"/>
      <c r="K62" s="320"/>
    </row>
    <row r="63" spans="1:11" ht="15.75" x14ac:dyDescent="0.25">
      <c r="A63" s="79" t="s">
        <v>89</v>
      </c>
      <c r="B63" s="48" t="s">
        <v>224</v>
      </c>
      <c r="C63" s="56" t="s">
        <v>411</v>
      </c>
      <c r="D63" s="56">
        <v>1</v>
      </c>
      <c r="E63" s="147">
        <f t="shared" si="17"/>
        <v>3978300</v>
      </c>
      <c r="F63" s="147">
        <f t="shared" si="13"/>
        <v>153011.53846153847</v>
      </c>
      <c r="G63" s="147">
        <f t="shared" si="14"/>
        <v>35957.711538461539</v>
      </c>
      <c r="H63" s="147">
        <f t="shared" ref="H63:H70" si="20">F63+G63</f>
        <v>188969.25</v>
      </c>
      <c r="I63" s="130">
        <v>4.0299999999999997E-3</v>
      </c>
      <c r="J63" s="147">
        <f t="shared" ref="J63:J70" si="21">H63*I63</f>
        <v>761.54607749999991</v>
      </c>
      <c r="K63" s="149"/>
    </row>
    <row r="64" spans="1:11" ht="15.75" x14ac:dyDescent="0.25">
      <c r="A64" s="79" t="s">
        <v>89</v>
      </c>
      <c r="B64" s="48" t="s">
        <v>225</v>
      </c>
      <c r="C64" s="56" t="s">
        <v>411</v>
      </c>
      <c r="D64" s="56">
        <v>1</v>
      </c>
      <c r="E64" s="147">
        <f t="shared" si="17"/>
        <v>3978300</v>
      </c>
      <c r="F64" s="147">
        <f t="shared" si="13"/>
        <v>153011.53846153847</v>
      </c>
      <c r="G64" s="147">
        <f t="shared" si="14"/>
        <v>35957.711538461539</v>
      </c>
      <c r="H64" s="147">
        <f t="shared" si="20"/>
        <v>188969.25</v>
      </c>
      <c r="I64" s="130">
        <v>7.1500000000000001E-3</v>
      </c>
      <c r="J64" s="147">
        <f t="shared" si="21"/>
        <v>1351.1301375</v>
      </c>
      <c r="K64" s="149"/>
    </row>
    <row r="65" spans="1:11" ht="15.75" x14ac:dyDescent="0.25">
      <c r="A65" s="79" t="s">
        <v>89</v>
      </c>
      <c r="B65" s="48" t="s">
        <v>232</v>
      </c>
      <c r="C65" s="56" t="s">
        <v>412</v>
      </c>
      <c r="D65" s="56">
        <v>1</v>
      </c>
      <c r="E65" s="147">
        <f t="shared" si="17"/>
        <v>3978300</v>
      </c>
      <c r="F65" s="147">
        <f t="shared" si="13"/>
        <v>153011.53846153847</v>
      </c>
      <c r="G65" s="147">
        <f t="shared" si="14"/>
        <v>35957.711538461539</v>
      </c>
      <c r="H65" s="147">
        <f t="shared" si="20"/>
        <v>188969.25</v>
      </c>
      <c r="I65" s="130">
        <v>7.3709999999999998E-2</v>
      </c>
      <c r="J65" s="147">
        <f t="shared" si="21"/>
        <v>13928.9234175</v>
      </c>
      <c r="K65" s="149"/>
    </row>
    <row r="66" spans="1:11" ht="15.75" x14ac:dyDescent="0.25">
      <c r="A66" s="79" t="s">
        <v>89</v>
      </c>
      <c r="B66" s="48" t="s">
        <v>233</v>
      </c>
      <c r="C66" s="56" t="s">
        <v>412</v>
      </c>
      <c r="D66" s="56">
        <v>1</v>
      </c>
      <c r="E66" s="147">
        <f t="shared" si="17"/>
        <v>3978300</v>
      </c>
      <c r="F66" s="147">
        <f t="shared" si="13"/>
        <v>153011.53846153847</v>
      </c>
      <c r="G66" s="147">
        <f t="shared" si="14"/>
        <v>35957.711538461539</v>
      </c>
      <c r="H66" s="147">
        <f t="shared" si="20"/>
        <v>188969.25</v>
      </c>
      <c r="I66" s="130">
        <v>8.7099999999999997E-2</v>
      </c>
      <c r="J66" s="147">
        <f t="shared" si="21"/>
        <v>16459.221675000001</v>
      </c>
      <c r="K66" s="149"/>
    </row>
    <row r="67" spans="1:11" ht="31.5" x14ac:dyDescent="0.25">
      <c r="A67" s="79" t="s">
        <v>89</v>
      </c>
      <c r="B67" s="48" t="s">
        <v>226</v>
      </c>
      <c r="C67" s="56" t="s">
        <v>411</v>
      </c>
      <c r="D67" s="56">
        <v>1</v>
      </c>
      <c r="E67" s="147">
        <f t="shared" si="17"/>
        <v>3978300</v>
      </c>
      <c r="F67" s="147">
        <f t="shared" si="13"/>
        <v>153011.53846153847</v>
      </c>
      <c r="G67" s="147">
        <f t="shared" si="14"/>
        <v>35957.711538461539</v>
      </c>
      <c r="H67" s="147">
        <f t="shared" si="20"/>
        <v>188969.25</v>
      </c>
      <c r="I67" s="130">
        <v>1.17E-3</v>
      </c>
      <c r="J67" s="147">
        <f t="shared" si="21"/>
        <v>221.09402249999999</v>
      </c>
      <c r="K67" s="149"/>
    </row>
    <row r="68" spans="1:11" ht="31.5" x14ac:dyDescent="0.25">
      <c r="A68" s="79" t="s">
        <v>89</v>
      </c>
      <c r="B68" s="48" t="s">
        <v>612</v>
      </c>
      <c r="C68" s="56" t="s">
        <v>411</v>
      </c>
      <c r="D68" s="56">
        <v>1</v>
      </c>
      <c r="E68" s="147">
        <f t="shared" si="17"/>
        <v>3978300</v>
      </c>
      <c r="F68" s="147">
        <f t="shared" si="13"/>
        <v>153011.53846153847</v>
      </c>
      <c r="G68" s="147">
        <f t="shared" si="14"/>
        <v>35957.711538461539</v>
      </c>
      <c r="H68" s="147">
        <f t="shared" si="20"/>
        <v>188969.25</v>
      </c>
      <c r="I68" s="130">
        <v>1.9499999999999999E-3</v>
      </c>
      <c r="J68" s="147">
        <f t="shared" si="21"/>
        <v>368.49003749999997</v>
      </c>
      <c r="K68" s="149"/>
    </row>
    <row r="69" spans="1:11" ht="31.5" x14ac:dyDescent="0.25">
      <c r="A69" s="79" t="s">
        <v>89</v>
      </c>
      <c r="B69" s="48" t="s">
        <v>234</v>
      </c>
      <c r="C69" s="56" t="s">
        <v>412</v>
      </c>
      <c r="D69" s="56">
        <v>1</v>
      </c>
      <c r="E69" s="147">
        <f t="shared" si="17"/>
        <v>3978300</v>
      </c>
      <c r="F69" s="147">
        <f t="shared" si="13"/>
        <v>153011.53846153847</v>
      </c>
      <c r="G69" s="147">
        <f t="shared" si="14"/>
        <v>35957.711538461539</v>
      </c>
      <c r="H69" s="147">
        <f t="shared" si="20"/>
        <v>188969.25</v>
      </c>
      <c r="I69" s="130">
        <v>1.8589999999999999E-2</v>
      </c>
      <c r="J69" s="147">
        <f t="shared" si="21"/>
        <v>3512.9383574999997</v>
      </c>
      <c r="K69" s="149"/>
    </row>
    <row r="70" spans="1:11" ht="31.5" x14ac:dyDescent="0.25">
      <c r="A70" s="79" t="s">
        <v>89</v>
      </c>
      <c r="B70" s="117" t="s">
        <v>227</v>
      </c>
      <c r="C70" s="107" t="s">
        <v>412</v>
      </c>
      <c r="D70" s="107">
        <v>1</v>
      </c>
      <c r="E70" s="150">
        <f t="shared" si="17"/>
        <v>3978300</v>
      </c>
      <c r="F70" s="150">
        <f t="shared" si="13"/>
        <v>153011.53846153847</v>
      </c>
      <c r="G70" s="150">
        <f t="shared" si="14"/>
        <v>35957.711538461539</v>
      </c>
      <c r="H70" s="150">
        <f t="shared" si="20"/>
        <v>188969.25</v>
      </c>
      <c r="I70" s="151">
        <v>2.2100000000000002E-2</v>
      </c>
      <c r="J70" s="150">
        <f t="shared" si="21"/>
        <v>4176.2204250000004</v>
      </c>
      <c r="K70" s="152"/>
    </row>
    <row r="71" spans="1:11" ht="15.75" x14ac:dyDescent="0.25">
      <c r="A71" s="352"/>
      <c r="B71" s="353"/>
      <c r="C71" s="354"/>
      <c r="D71" s="354"/>
      <c r="E71" s="355"/>
      <c r="F71" s="355"/>
      <c r="G71" s="355"/>
      <c r="H71" s="355"/>
      <c r="I71" s="356"/>
      <c r="J71" s="355"/>
      <c r="K71" s="356"/>
    </row>
    <row r="72" spans="1:11" ht="15.75" x14ac:dyDescent="0.25">
      <c r="B72" s="357" t="s">
        <v>598</v>
      </c>
    </row>
    <row r="73" spans="1:11" ht="15.75" x14ac:dyDescent="0.25">
      <c r="B73" s="358" t="s">
        <v>570</v>
      </c>
    </row>
    <row r="74" spans="1:11" ht="15.75" x14ac:dyDescent="0.25">
      <c r="B74" s="358" t="s">
        <v>571</v>
      </c>
    </row>
    <row r="75" spans="1:11" ht="15.75" x14ac:dyDescent="0.25">
      <c r="B75" s="358" t="s">
        <v>572</v>
      </c>
    </row>
    <row r="76" spans="1:11" ht="15.75" x14ac:dyDescent="0.25">
      <c r="B76" s="358" t="s">
        <v>573</v>
      </c>
    </row>
    <row r="77" spans="1:11" ht="15.75" x14ac:dyDescent="0.25">
      <c r="B77" s="359"/>
    </row>
  </sheetData>
  <mergeCells count="4">
    <mergeCell ref="A1:K1"/>
    <mergeCell ref="A2:K2"/>
    <mergeCell ref="A3:K3"/>
    <mergeCell ref="A4:K4"/>
  </mergeCells>
  <conditionalFormatting sqref="B17:B24">
    <cfRule type="duplicateValues" dxfId="41" priority="7"/>
  </conditionalFormatting>
  <conditionalFormatting sqref="B26:B33">
    <cfRule type="duplicateValues" dxfId="40" priority="6"/>
  </conditionalFormatting>
  <conditionalFormatting sqref="B35:B39 B41:B42">
    <cfRule type="duplicateValues" dxfId="39" priority="5"/>
  </conditionalFormatting>
  <conditionalFormatting sqref="B40">
    <cfRule type="duplicateValues" dxfId="38" priority="4"/>
  </conditionalFormatting>
  <conditionalFormatting sqref="B50">
    <cfRule type="duplicateValues" dxfId="37" priority="3"/>
  </conditionalFormatting>
  <conditionalFormatting sqref="B60">
    <cfRule type="duplicateValues" dxfId="36" priority="2"/>
  </conditionalFormatting>
  <conditionalFormatting sqref="B68">
    <cfRule type="duplicateValues" dxfId="35" priority="1"/>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CF086F-CD9E-4BB3-B826-87338DA74DD0}"/>
</file>

<file path=customXml/itemProps2.xml><?xml version="1.0" encoding="utf-8"?>
<ds:datastoreItem xmlns:ds="http://schemas.openxmlformats.org/officeDocument/2006/customXml" ds:itemID="{2819B1E1-2B74-4726-9A2B-18E757D6B798}"/>
</file>

<file path=customXml/itemProps3.xml><?xml version="1.0" encoding="utf-8"?>
<ds:datastoreItem xmlns:ds="http://schemas.openxmlformats.org/officeDocument/2006/customXml" ds:itemID="{D1D4982C-6F63-45C0-B3E0-30BC84801D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DG-TONG</vt:lpstr>
      <vt:lpstr>THIETBI</vt:lpstr>
      <vt:lpstr>DUNGCU</vt:lpstr>
      <vt:lpstr>VATLIEU</vt:lpstr>
      <vt:lpstr>DIENNANG</vt:lpstr>
      <vt:lpstr>NHANCONG</vt:lpstr>
      <vt:lpstr>LUONGNGAY</vt:lpstr>
      <vt:lpstr>THIETBI-TT26</vt:lpstr>
      <vt:lpstr>LUONGNGAY-TT26</vt:lpstr>
      <vt:lpstr>DONGIA</vt:lpstr>
      <vt:lpstr>'DG-TONG'!dc_14</vt:lpstr>
      <vt:lpstr>'DG-TONG'!dc_15</vt:lpstr>
      <vt:lpstr>'DG-TONG'!dc_16</vt:lpstr>
      <vt:lpstr>'DG-TONG'!dc_17</vt:lpstr>
      <vt:lpstr>'DG-TONG'!dc_18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HCTH03</dc:creator>
  <cp:lastModifiedBy>HCTH03</cp:lastModifiedBy>
  <dcterms:created xsi:type="dcterms:W3CDTF">2022-08-16T08:16:40Z</dcterms:created>
  <dcterms:modified xsi:type="dcterms:W3CDTF">2023-02-24T02:46:48Z</dcterms:modified>
</cp:coreProperties>
</file>